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U:\2021\Kalkulačka MZe\"/>
    </mc:Choice>
  </mc:AlternateContent>
  <xr:revisionPtr revIDLastSave="0" documentId="8_{FDF89F7C-8CA4-4ACE-A704-C12878B687C5}" xr6:coauthVersionLast="46" xr6:coauthVersionMax="46" xr10:uidLastSave="{00000000-0000-0000-0000-000000000000}"/>
  <bookViews>
    <workbookView xWindow="-120" yWindow="-120" windowWidth="29040" windowHeight="17640" tabRatio="965" xr2:uid="{9A5017F9-0E23-498C-902D-60FFD181DE5C}"/>
  </bookViews>
  <sheets>
    <sheet name="UVOD_INFO" sheetId="26" r:id="rId1"/>
    <sheet name="ROZCESTNIK" sheetId="23" r:id="rId2"/>
    <sheet name="DB_PODPOR" sheetId="1" state="veryHidden" r:id="rId3"/>
    <sheet name="SAPS" sheetId="2" r:id="rId4"/>
    <sheet name="RP" sheetId="6" r:id="rId5"/>
    <sheet name="EKOSCHEMA" sheetId="3" r:id="rId6"/>
    <sheet name="MLZ" sheetId="4" r:id="rId7"/>
    <sheet name="VCS" sheetId="5" r:id="rId8"/>
    <sheet name="MS" sheetId="25" r:id="rId9"/>
    <sheet name="ANC" sheetId="7" r:id="rId10"/>
    <sheet name="AEKO_ZATR" sheetId="8" r:id="rId11"/>
    <sheet name="AEKO_MEZIP" sheetId="9" r:id="rId12"/>
    <sheet name="AEKO_OTP" sheetId="10" r:id="rId13"/>
    <sheet name="AEKO_BIODIV" sheetId="22" r:id="rId14"/>
    <sheet name="AEKO_IP" sheetId="12" r:id="rId15"/>
    <sheet name="AEKO_JINE" sheetId="11" r:id="rId16"/>
    <sheet name="EZ_ZAKL" sheetId="13" r:id="rId17"/>
    <sheet name="NAT_2000" sheetId="15" r:id="rId18"/>
    <sheet name="DZPZ" sheetId="16" r:id="rId19"/>
    <sheet name="ANTIM" sheetId="17" state="veryHidden" r:id="rId20"/>
    <sheet name="LES_ZALES" sheetId="18" r:id="rId21"/>
    <sheet name="LES_AGROLES" sheetId="19" r:id="rId22"/>
    <sheet name="LES_ENVILES" sheetId="20" r:id="rId23"/>
  </sheets>
  <definedNames>
    <definedName name="_xlnm._FilterDatabase" localSheetId="2" hidden="1">DB_PODPOR!$A$1:$D$239</definedName>
    <definedName name="AEKO_BIODIV_dotace_zdroj">OFFSET(AEKO_BIODIV!$H$5,0,0,COUNTA(AEKO_BIODIV!$H:$H),1)</definedName>
    <definedName name="AEKO_BIODIV_plocha_zdroj">OFFSET(AEKO_BIODIV!$D$5,0,0,COUNT(AEKO_BIODIV!$D:$D),1)</definedName>
    <definedName name="AEKO_BIODIV_sazba_zdroj">OFFSET(AEKO_BIODIV!$E$5,0,0,COUNT(AEKO_BIODIV!$E:$E),1)</definedName>
    <definedName name="AEKO_BIODIV_titul_zdroj">OFFSET(AEKO_BIODIV!$C$5,0,0,COUNTA(AEKO_BIODIV!$C:$C),1)</definedName>
    <definedName name="AEKO_IP_dotace_zdroj">OFFSET(AEKO_IP!$H$5,0,0,COUNTA(AEKO_IP!$H:$H),1)</definedName>
    <definedName name="AEKO_IP_plocha_zdroj">OFFSET(AEKO_IP!$D$5,0,0,COUNT(AEKO_IP!$D:$D),1)</definedName>
    <definedName name="AEKO_IP_sazba_zdroj">OFFSET(AEKO_IP!$E$5,0,0,COUNT(AEKO_IP!$E:$E),1)</definedName>
    <definedName name="AEKO_IP_titul_zdroj">OFFSET(AEKO_IP!$C$5,0,0,COUNTA(AEKO_IP!$C:$C),1)</definedName>
    <definedName name="AEKO_JINE_dotace_zdroj">OFFSET(AEKO_JINE!$H$5,0,0,COUNTA(AEKO_JINE!$H:$H),1)</definedName>
    <definedName name="AEKO_JINE_plocha_zdroj">OFFSET(AEKO_JINE!$D$5,0,0,COUNT(AEKO_JINE!$D:$D),1)</definedName>
    <definedName name="AEKO_JINE_sazba_zdroj">OFFSET(AEKO_JINE!$E$5,0,0,COUNT(AEKO_JINE!$E:$E),1)</definedName>
    <definedName name="AEKO_JINE_titul_zdroj">OFFSET(AEKO_JINE!$C$5,0,0,COUNTA(AEKO_JINE!$C:$C),1)</definedName>
    <definedName name="AEKO_MEZIP_dotace_zdroj">OFFSET(AEKO_MEZIP!$H$5,0,0,COUNTA(AEKO_MEZIP!$H:$H),1)</definedName>
    <definedName name="AEKO_MEZIP_plocha_zdroj">OFFSET(AEKO_MEZIP!$D$5,0,0,COUNT(AEKO_MEZIP!$D:$D),1)</definedName>
    <definedName name="AEKO_MEZIP_sazba_zdroj">OFFSET(AEKO_MEZIP!$E$5,0,0,COUNT(AEKO_MEZIP!$E:$E),1)</definedName>
    <definedName name="AEKO_MEZIP_titul_zdroj">OFFSET(AEKO_MEZIP!$C$5,0,0,COUNTA(AEKO_MEZIP!$C:$C),1)</definedName>
    <definedName name="AEKO_OTP_dotace_zdroj">OFFSET(AEKO_OTP!$H$5,0,0,COUNTA(AEKO_OTP!$H:$H),1)</definedName>
    <definedName name="AEKO_OTP_plocha_zdroj">OFFSET(AEKO_OTP!$D$5,0,0,COUNT(AEKO_OTP!$D:$D),1)</definedName>
    <definedName name="AEKO_OTP_sazba_zdroj">OFFSET(AEKO_OTP!$E$5,0,0,COUNT(AEKO_OTP!$E:$E),1)</definedName>
    <definedName name="AEKO_OTP_titul_zdroj">OFFSET(AEKO_OTP!$C$5,0,0,COUNTA(AEKO_OTP!$C:$C),1)</definedName>
    <definedName name="AEKO_ZATR_dotace_zdroj">OFFSET(AEKO_ZATR!$H$5,0,0,COUNTA(AEKO_ZATR!$H:$H),1)</definedName>
    <definedName name="AEKO_ZATR_plocha_zdroj">OFFSET(AEKO_ZATR!$D$5,0,0,COUNT(AEKO_ZATR!$D:$D),1)</definedName>
    <definedName name="AEKO_ZATR_sazba_zdroj">OFFSET(AEKO_ZATR!$E$5,0,0,COUNT(AEKO_ZATR!$E:$E),1)</definedName>
    <definedName name="AEKO_ZATR_titul_zdroj">OFFSET(AEKO_ZATR!$C$5,0,0,COUNTA(AEKO_ZATR!$C:$C),1)</definedName>
    <definedName name="ANC_dotace_zdroj">OFFSET(ANC!$I$5,0,0,COUNTA(ANC!$I:$I),1)</definedName>
    <definedName name="ANC_plocha_zdroj">OFFSET(ANC!$D$5,0,0,COUNT(ANC!$D:$D),1)</definedName>
    <definedName name="ANC_sazba_zdroj">OFFSET(ANC!$E$5,0,0,COUNT(ANC!$E:$E),1)</definedName>
    <definedName name="ANC_titul_zdroj">OFFSET(ANC!$C$5,0,0,COUNTA(ANC!$C:$C),1)</definedName>
    <definedName name="ANTIM_dotace_zdroj">OFFSET(ANTIM!$H$5,0,0,COUNTA(ANTIM!$H:$H),1)</definedName>
    <definedName name="ANTIM_plocha_zdroj">OFFSET(ANTIM!$D$5,0,0,COUNT(ANTIM!$D:$D),1)</definedName>
    <definedName name="ANTIM_sazba_zdroj">OFFSET(ANTIM!$E$5,0,0,COUNT(ANTIM!$E:$E),1)</definedName>
    <definedName name="ANTIM_titul_zdroj">OFFSET(ANTIM!$C$5,0,0,COUNTA(ANTIM!$C:$C),1)</definedName>
    <definedName name="DZPZ_dotace_zdroj">OFFSET(DZPZ!$H$5,0,0,COUNTA(DZPZ!$H:$H),1)</definedName>
    <definedName name="DZPZ_plocha_zdroj">OFFSET(DZPZ!$D$5,0,0,COUNT(DZPZ!$D:$D),1)</definedName>
    <definedName name="DZPZ_sazba_zdroj">OFFSET(DZPZ!$E$5,0,0,COUNT(DZPZ!$E:$E),1)</definedName>
    <definedName name="DZPZ_titul_zdroj">OFFSET(DZPZ!$C$5,0,0,COUNTA(DZPZ!$C:$C),1)</definedName>
    <definedName name="EKOSCHEMA_dotace_zdroj">OFFSET(EKOSCHEMA!$H$5,0,0,COUNTA(EKOSCHEMA!$H:$H),1)</definedName>
    <definedName name="Ekoschema_plocha_zdroj">OFFSET(EKOSCHEMA!$D$5,0,0,COUNT(EKOSCHEMA!$D:$D),1)</definedName>
    <definedName name="Ekoschema_sazba_zdroj">OFFSET(EKOSCHEMA!$E$5,0,0,COUNT(EKOSCHEMA!$E:$E),1)</definedName>
    <definedName name="EKOSCHEMA_titul_zdroj">OFFSET(EKOSCHEMA!$C$5,0,0,COUNTA(EKOSCHEMA!$C:$C),1)</definedName>
    <definedName name="EZ_BIODIV_dotace_zdroj">OFFSET(#REF!,0,0,COUNTA(#REF!),1)</definedName>
    <definedName name="EZ_BIODIV_plocha_zdroj">OFFSET(#REF!,0,0,COUNT(#REF!),1)</definedName>
    <definedName name="EZ_BIODIV_sazba_zdroj">OFFSET(#REF!,0,0,COUNT(#REF!),1)</definedName>
    <definedName name="EZ_BIODIV_titul_zdroj">OFFSET(#REF!,0,0,COUNTA(#REF!),1)</definedName>
    <definedName name="EZ_ZAKL_dotace_zdroj">OFFSET(EZ_ZAKL!$H$5,0,0,COUNTA(EZ_ZAKL!$H:$H),1)</definedName>
    <definedName name="EZ_ZAKL_plocha_zdroj">OFFSET(EZ_ZAKL!$D$5,0,0,COUNT(EZ_ZAKL!$D:$D),1)</definedName>
    <definedName name="EZ_ZAKL_sazba_zdroj">OFFSET(EZ_ZAKL!$E$5,0,0,COUNT(EZ_ZAKL!$E:$E),1)</definedName>
    <definedName name="EZ_ZAKL_titul_zdroj">OFFSET(EZ_ZAKL!$C$5,0,0,COUNTA(EZ_ZAKL!$C:$C),1)</definedName>
    <definedName name="LES_AGROLES_dotace_zdroj">OFFSET(LES_AGROLES!$H$5,0,0,COUNTA(LES_AGROLES!$H:$H),1)</definedName>
    <definedName name="LES_AGROLES_plocha_zdroj">OFFSET(LES_AGROLES!$D$5,0,0,COUNT(LES_AGROLES!$D:$D),1)</definedName>
    <definedName name="LES_AGROLES_sazba_zdroj">OFFSET(LES_AGROLES!$E$5,0,0,COUNT(LES_AGROLES!$E:$E),1)</definedName>
    <definedName name="LES_AGROLES_titul_zdroj">OFFSET(LES_AGROLES!$C$5,0,0,COUNTA(LES_AGROLES!$C:$C),1)</definedName>
    <definedName name="LES_ENVILES_dotace_zdroj">OFFSET(LES_ENVILES!$H$5,0,0,COUNTA(LES_ENVILES!$H:$H),1)</definedName>
    <definedName name="LES_ENVILES_plocha_zdroj">OFFSET(LES_ENVILES!$D$5,0,0,COUNT(LES_ENVILES!$D:$D),1)</definedName>
    <definedName name="LES_ENVILES_sazba_zdroj">OFFSET(LES_ENVILES!$E$5,0,0,COUNT(LES_ENVILES!$E:$E),1)</definedName>
    <definedName name="LES_ENVILES_titul_zdroj">OFFSET(LES_ENVILES!$C$5,0,0,COUNTA(LES_ENVILES!$C:$C),1)</definedName>
    <definedName name="LES_ZALES_dotace_zdroj">OFFSET(LES_ZALES!$H$5,0,0,COUNTA(LES_ZALES!$H:$H),1)</definedName>
    <definedName name="LES_ZALES_plocha_zdroj">OFFSET(LES_ZALES!$D$5,0,0,COUNT(LES_ZALES!$D:$D),1)</definedName>
    <definedName name="LES_ZALES_sazba_zdroj">OFFSET(LES_ZALES!$E$5,0,0,COUNT(LES_ZALES!$E:$E),1)</definedName>
    <definedName name="LES_ZALES_titul_zdroj">OFFSET(LES_ZALES!$C$5,0,0,COUNTA(LES_ZALES!$C:$C),1)</definedName>
    <definedName name="NAT_2000_dotace_zdroj">OFFSET(NAT_2000!$H$5,0,0,COUNTA(NAT_2000!$H:$H),1)</definedName>
    <definedName name="NAT_2000_plocha_zdroj">OFFSET(NAT_2000!$D$5,0,0,COUNT(NAT_2000!$D:$D),1)</definedName>
    <definedName name="NAT_2000_sazba_zdroj">OFFSET(NAT_2000!$E$5,0,0,COUNT(NAT_2000!$E:$E),1)</definedName>
    <definedName name="NAT_2000_titul_zdroj">OFFSET(NAT_2000!$C$5,0,0,COUNTA(NAT_2000!$C:$C),1)</definedName>
    <definedName name="RP_dotace_zdroj">OFFSET(RP!$H$5,0,0,COUNTA(RP!$H:$H),1)</definedName>
    <definedName name="RP_pasmo_zdroj">OFFSET(RP!$C$5,0,0,COUNTA(RP!$C:$C),1)</definedName>
    <definedName name="RP_plocha_zdroj">OFFSET(RP!$D$5,0,0,COUNTA(RP!$D:$D),1)</definedName>
    <definedName name="RP_sazba_zdroj">OFFSET(RP!$E$5,0,0,COUNTA(RP!$E:$E),1)</definedName>
    <definedName name="VCS_dotace_zdroj">OFFSET(VCS!$H$5,0,0,COUNTA(VCS!$H:$H),1)</definedName>
    <definedName name="VCS_plocha_zdroj">OFFSET(VCS!$D$5,0,0,COUNT(VCS!$D:$D),1)</definedName>
    <definedName name="VCS_sazba_zdroj">OFFSET(VCS!$E$5,0,0,COUNT(VCS!$E:$E),1)</definedName>
    <definedName name="VCS_titul_zdroj">OFFSET(VCS!$C$5,0,0,COUNTA(VCS!$C:$C),1)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5" l="1"/>
  <c r="O6" i="7"/>
  <c r="P5" i="7"/>
  <c r="C20" i="23"/>
  <c r="K5" i="7"/>
  <c r="M5" i="7" l="1"/>
  <c r="E6" i="20"/>
  <c r="E7" i="20"/>
  <c r="E5" i="20"/>
  <c r="E5" i="19"/>
  <c r="E6" i="19"/>
  <c r="E5" i="18"/>
  <c r="E6" i="18"/>
  <c r="E7" i="18"/>
  <c r="E8" i="18"/>
  <c r="E9" i="18"/>
  <c r="E5" i="17"/>
  <c r="E6" i="17"/>
  <c r="E7" i="17"/>
  <c r="E8" i="17"/>
  <c r="E5" i="16"/>
  <c r="E6" i="16"/>
  <c r="E7" i="16"/>
  <c r="E8" i="16"/>
  <c r="E9" i="16"/>
  <c r="E10" i="16"/>
  <c r="E5" i="15"/>
  <c r="E6" i="15"/>
  <c r="E5" i="13"/>
  <c r="H92" i="1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5" i="11"/>
  <c r="E6" i="11"/>
  <c r="E5" i="12"/>
  <c r="E6" i="12"/>
  <c r="E7" i="12"/>
  <c r="E8" i="12"/>
  <c r="E9" i="12"/>
  <c r="E5" i="22"/>
  <c r="E6" i="22" l="1"/>
  <c r="E7" i="22"/>
  <c r="E8" i="22"/>
  <c r="E9" i="22"/>
  <c r="E5" i="9"/>
  <c r="N109" i="1"/>
  <c r="N108" i="1"/>
  <c r="M108" i="1"/>
  <c r="M109" i="1"/>
  <c r="D109" i="1"/>
  <c r="D108" i="1"/>
  <c r="F108" i="1" s="1"/>
  <c r="K108" i="1"/>
  <c r="K109" i="1"/>
  <c r="F109" i="1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E6" i="9"/>
  <c r="E5" i="8"/>
  <c r="E6" i="8"/>
  <c r="E7" i="8"/>
  <c r="E8" i="8"/>
  <c r="E9" i="8"/>
  <c r="E10" i="8"/>
  <c r="E11" i="8"/>
  <c r="E12" i="8"/>
  <c r="E13" i="8"/>
  <c r="E14" i="8"/>
  <c r="E6" i="5"/>
  <c r="D79" i="1"/>
  <c r="F79" i="1" s="1"/>
  <c r="C19" i="10"/>
  <c r="C20" i="10"/>
  <c r="C21" i="10"/>
  <c r="C22" i="10"/>
  <c r="C23" i="10"/>
  <c r="C24" i="10"/>
  <c r="C25" i="10"/>
  <c r="C26" i="10"/>
  <c r="C27" i="10"/>
  <c r="C28" i="10"/>
  <c r="C12" i="10"/>
  <c r="C13" i="10"/>
  <c r="C14" i="10"/>
  <c r="C15" i="10"/>
  <c r="C16" i="10"/>
  <c r="K79" i="1"/>
  <c r="M79" i="1"/>
  <c r="N79" i="1"/>
  <c r="E5" i="25" l="1"/>
  <c r="E5" i="5"/>
  <c r="E7" i="5"/>
  <c r="E8" i="5"/>
  <c r="E9" i="5"/>
  <c r="E10" i="5"/>
  <c r="E11" i="5"/>
  <c r="E12" i="5"/>
  <c r="E13" i="5"/>
  <c r="E14" i="5"/>
  <c r="E15" i="5"/>
  <c r="E5" i="4"/>
  <c r="E5" i="3"/>
  <c r="E6" i="3"/>
  <c r="E7" i="3"/>
  <c r="E8" i="3"/>
  <c r="E9" i="3"/>
  <c r="E10" i="3"/>
  <c r="E11" i="3"/>
  <c r="E12" i="3"/>
  <c r="E13" i="3"/>
  <c r="E14" i="3"/>
  <c r="E15" i="3"/>
  <c r="E5" i="6"/>
  <c r="E5" i="2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10" i="1"/>
  <c r="F110" i="1" s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2" i="1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5" i="10"/>
  <c r="F6" i="20"/>
  <c r="F7" i="20"/>
  <c r="F5" i="20"/>
  <c r="F6" i="19"/>
  <c r="F5" i="19"/>
  <c r="F6" i="18"/>
  <c r="F7" i="18"/>
  <c r="F8" i="18"/>
  <c r="F9" i="18"/>
  <c r="F5" i="18"/>
  <c r="F6" i="17"/>
  <c r="F7" i="17"/>
  <c r="F8" i="17"/>
  <c r="F5" i="17"/>
  <c r="F6" i="16"/>
  <c r="F7" i="16"/>
  <c r="F8" i="16"/>
  <c r="F9" i="16"/>
  <c r="F10" i="16"/>
  <c r="F5" i="16"/>
  <c r="F6" i="15"/>
  <c r="F5" i="15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5" i="13"/>
  <c r="F6" i="11"/>
  <c r="F5" i="11"/>
  <c r="F6" i="12"/>
  <c r="F7" i="12"/>
  <c r="F8" i="12"/>
  <c r="F9" i="12"/>
  <c r="F5" i="12"/>
  <c r="F6" i="22"/>
  <c r="F7" i="22"/>
  <c r="F8" i="22"/>
  <c r="F9" i="22"/>
  <c r="F5" i="22"/>
  <c r="F6" i="9"/>
  <c r="F5" i="9"/>
  <c r="F6" i="8"/>
  <c r="F7" i="8"/>
  <c r="F8" i="8"/>
  <c r="F9" i="8"/>
  <c r="F10" i="8"/>
  <c r="F11" i="8"/>
  <c r="F12" i="8"/>
  <c r="F13" i="8"/>
  <c r="F14" i="8"/>
  <c r="F5" i="8"/>
  <c r="G6" i="7"/>
  <c r="G7" i="7"/>
  <c r="G8" i="7"/>
  <c r="G9" i="7"/>
  <c r="G10" i="7"/>
  <c r="G11" i="7"/>
  <c r="G12" i="7"/>
  <c r="G13" i="7"/>
  <c r="G5" i="7"/>
  <c r="F5" i="25"/>
  <c r="F15" i="5"/>
  <c r="F14" i="5"/>
  <c r="F13" i="5"/>
  <c r="F12" i="5"/>
  <c r="F11" i="5"/>
  <c r="F10" i="5"/>
  <c r="F9" i="5"/>
  <c r="F8" i="5"/>
  <c r="F7" i="5"/>
  <c r="F6" i="5"/>
  <c r="F5" i="5"/>
  <c r="F5" i="4"/>
  <c r="F6" i="3"/>
  <c r="F7" i="3"/>
  <c r="F8" i="3"/>
  <c r="F9" i="3"/>
  <c r="F10" i="3"/>
  <c r="F11" i="3"/>
  <c r="F12" i="3"/>
  <c r="F13" i="3"/>
  <c r="F14" i="3"/>
  <c r="F15" i="3"/>
  <c r="F5" i="3"/>
  <c r="F5" i="6"/>
  <c r="F5" i="2"/>
  <c r="C144" i="1"/>
  <c r="J5" i="17" l="1"/>
  <c r="F144" i="1"/>
  <c r="J144" i="1" s="1"/>
  <c r="H8" i="18"/>
  <c r="N144" i="1"/>
  <c r="M144" i="1"/>
  <c r="N142" i="1"/>
  <c r="M142" i="1"/>
  <c r="K144" i="1"/>
  <c r="C8" i="18"/>
  <c r="H6" i="18"/>
  <c r="K142" i="1"/>
  <c r="F142" i="1"/>
  <c r="C6" i="18"/>
  <c r="L5" i="3" l="1"/>
  <c r="H6" i="5"/>
  <c r="H7" i="5"/>
  <c r="H8" i="5"/>
  <c r="H9" i="5"/>
  <c r="H10" i="5"/>
  <c r="H11" i="5"/>
  <c r="H12" i="5"/>
  <c r="H13" i="5"/>
  <c r="H14" i="5"/>
  <c r="H15" i="5"/>
  <c r="H5" i="5"/>
  <c r="C27" i="1"/>
  <c r="C23" i="1"/>
  <c r="C16" i="1"/>
  <c r="C19" i="1"/>
  <c r="C24" i="1"/>
  <c r="C29" i="1"/>
  <c r="C17" i="1"/>
  <c r="C20" i="1"/>
  <c r="C25" i="1"/>
  <c r="C28" i="1"/>
  <c r="C21" i="1"/>
  <c r="C18" i="1"/>
  <c r="C15" i="1"/>
  <c r="C26" i="1"/>
  <c r="C22" i="1"/>
  <c r="H6" i="3" l="1"/>
  <c r="H7" i="3"/>
  <c r="H8" i="3"/>
  <c r="H9" i="3"/>
  <c r="H10" i="3"/>
  <c r="H11" i="3"/>
  <c r="H12" i="3"/>
  <c r="H13" i="3"/>
  <c r="H14" i="3"/>
  <c r="H15" i="3"/>
  <c r="D5" i="6" l="1"/>
  <c r="H5" i="6" s="1"/>
  <c r="D5" i="4"/>
  <c r="H5" i="4" s="1"/>
  <c r="C33" i="1"/>
  <c r="C31" i="1"/>
  <c r="C32" i="1"/>
  <c r="G12" i="23" l="1"/>
  <c r="I12" i="23" s="1"/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N30" i="1" s="1"/>
  <c r="O31" i="1"/>
  <c r="O32" i="1"/>
  <c r="O33" i="1"/>
  <c r="O2" i="1"/>
  <c r="AP3" i="1"/>
  <c r="AP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L30" i="1"/>
  <c r="K30" i="1" s="1"/>
  <c r="M30" i="1"/>
  <c r="H108" i="1" l="1"/>
  <c r="H109" i="1"/>
  <c r="H64" i="1"/>
  <c r="H68" i="1"/>
  <c r="H72" i="1"/>
  <c r="H76" i="1"/>
  <c r="H69" i="1"/>
  <c r="H73" i="1"/>
  <c r="H79" i="1"/>
  <c r="H65" i="1"/>
  <c r="H77" i="1"/>
  <c r="H66" i="1"/>
  <c r="H70" i="1"/>
  <c r="H74" i="1"/>
  <c r="H78" i="1"/>
  <c r="H67" i="1"/>
  <c r="H71" i="1"/>
  <c r="H75" i="1"/>
  <c r="H142" i="1"/>
  <c r="H144" i="1"/>
  <c r="F30" i="1"/>
  <c r="H5" i="25" s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3" i="1"/>
  <c r="M145" i="1"/>
  <c r="M146" i="1"/>
  <c r="M147" i="1"/>
  <c r="M148" i="1"/>
  <c r="M149" i="1"/>
  <c r="M150" i="1"/>
  <c r="M151" i="1"/>
  <c r="M2" i="1"/>
  <c r="C30" i="1"/>
  <c r="P30" i="1" l="1"/>
  <c r="F12" i="23"/>
  <c r="J30" i="1"/>
  <c r="K3" i="1"/>
  <c r="N3" i="1"/>
  <c r="F3" i="1" s="1"/>
  <c r="K119" i="1"/>
  <c r="N119" i="1"/>
  <c r="F119" i="1"/>
  <c r="K90" i="1"/>
  <c r="C9" i="12" s="1"/>
  <c r="K85" i="1"/>
  <c r="C9" i="22" s="1"/>
  <c r="K84" i="1"/>
  <c r="C8" i="22" s="1"/>
  <c r="F85" i="1"/>
  <c r="N65" i="1"/>
  <c r="N64" i="1"/>
  <c r="F65" i="1"/>
  <c r="F64" i="1"/>
  <c r="K64" i="1"/>
  <c r="K65" i="1"/>
  <c r="K5" i="1"/>
  <c r="N5" i="1"/>
  <c r="F5" i="1" s="1"/>
  <c r="N12" i="1"/>
  <c r="F12" i="1" s="1"/>
  <c r="K12" i="1"/>
  <c r="C14" i="3" s="1"/>
  <c r="C6" i="10" l="1"/>
  <c r="C18" i="10"/>
  <c r="C5" i="10"/>
  <c r="C17" i="10"/>
  <c r="H9" i="12"/>
  <c r="L27" i="1" l="1"/>
  <c r="K32" i="1" l="1"/>
  <c r="K33" i="1"/>
  <c r="C5" i="6" l="1"/>
  <c r="N27" i="1"/>
  <c r="N28" i="1"/>
  <c r="N29" i="1"/>
  <c r="N31" i="1"/>
  <c r="F31" i="1" s="1"/>
  <c r="N32" i="1"/>
  <c r="F32" i="1" s="1"/>
  <c r="G8" i="23" l="1"/>
  <c r="L28" i="1"/>
  <c r="K28" i="1" s="1"/>
  <c r="L29" i="1"/>
  <c r="K29" i="1" s="1"/>
  <c r="F27" i="1"/>
  <c r="F28" i="1"/>
  <c r="F29" i="1"/>
  <c r="I8" i="23" l="1"/>
  <c r="P28" i="1"/>
  <c r="P29" i="1"/>
  <c r="P27" i="1"/>
  <c r="J28" i="1"/>
  <c r="J29" i="1"/>
  <c r="J27" i="1"/>
  <c r="K27" i="1" l="1"/>
  <c r="L26" i="1" l="1"/>
  <c r="L16" i="1"/>
  <c r="L17" i="1"/>
  <c r="L18" i="1"/>
  <c r="L19" i="1"/>
  <c r="L20" i="1"/>
  <c r="L21" i="1"/>
  <c r="L22" i="1"/>
  <c r="L23" i="1"/>
  <c r="L24" i="1"/>
  <c r="L25" i="1"/>
  <c r="L15" i="1"/>
  <c r="C145" i="1"/>
  <c r="C150" i="1"/>
  <c r="C146" i="1"/>
  <c r="C149" i="1"/>
  <c r="C151" i="1"/>
  <c r="C148" i="1"/>
  <c r="C147" i="1"/>
  <c r="C143" i="1"/>
  <c r="P16" i="1" l="1"/>
  <c r="P19" i="1"/>
  <c r="P18" i="1"/>
  <c r="P20" i="1"/>
  <c r="P21" i="1"/>
  <c r="P17" i="1"/>
  <c r="P15" i="1"/>
  <c r="AB13" i="1"/>
  <c r="J31" i="1" l="1"/>
  <c r="P31" i="1"/>
  <c r="H10" i="23"/>
  <c r="N67" i="1"/>
  <c r="N68" i="1"/>
  <c r="N69" i="1"/>
  <c r="N70" i="1"/>
  <c r="N71" i="1"/>
  <c r="N72" i="1"/>
  <c r="N73" i="1"/>
  <c r="N74" i="1"/>
  <c r="N75" i="1"/>
  <c r="N76" i="1"/>
  <c r="N77" i="1"/>
  <c r="N78" i="1"/>
  <c r="N66" i="1"/>
  <c r="N111" i="1"/>
  <c r="N112" i="1"/>
  <c r="N113" i="1"/>
  <c r="N114" i="1"/>
  <c r="N115" i="1"/>
  <c r="N116" i="1"/>
  <c r="N117" i="1"/>
  <c r="N118" i="1"/>
  <c r="N110" i="1"/>
  <c r="H8" i="23" l="1" a="1"/>
  <c r="H8" i="23" s="1"/>
  <c r="J32" i="1"/>
  <c r="P32" i="1"/>
  <c r="K151" i="1" l="1"/>
  <c r="C7" i="20" s="1"/>
  <c r="K150" i="1"/>
  <c r="C6" i="20" s="1"/>
  <c r="K149" i="1"/>
  <c r="C5" i="20" s="1"/>
  <c r="K148" i="1"/>
  <c r="K147" i="1"/>
  <c r="K146" i="1"/>
  <c r="K145" i="1"/>
  <c r="K143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C10" i="16" s="1"/>
  <c r="K128" i="1"/>
  <c r="C9" i="16" s="1"/>
  <c r="K127" i="1"/>
  <c r="C8" i="16" s="1"/>
  <c r="K126" i="1"/>
  <c r="K125" i="1"/>
  <c r="K124" i="1"/>
  <c r="C7" i="16" s="1"/>
  <c r="K123" i="1"/>
  <c r="C6" i="16" s="1"/>
  <c r="K122" i="1"/>
  <c r="C5" i="16" s="1"/>
  <c r="K121" i="1"/>
  <c r="C6" i="15" s="1"/>
  <c r="K120" i="1"/>
  <c r="C5" i="15" s="1"/>
  <c r="K118" i="1"/>
  <c r="K117" i="1"/>
  <c r="K116" i="1"/>
  <c r="K115" i="1"/>
  <c r="K114" i="1"/>
  <c r="K113" i="1"/>
  <c r="K112" i="1"/>
  <c r="K111" i="1"/>
  <c r="K110" i="1"/>
  <c r="K107" i="1"/>
  <c r="C18" i="13" s="1"/>
  <c r="K106" i="1"/>
  <c r="C17" i="13" s="1"/>
  <c r="K105" i="1"/>
  <c r="C16" i="13" s="1"/>
  <c r="K104" i="1"/>
  <c r="C15" i="13" s="1"/>
  <c r="K103" i="1"/>
  <c r="C14" i="13" s="1"/>
  <c r="K102" i="1"/>
  <c r="C13" i="13" s="1"/>
  <c r="K101" i="1"/>
  <c r="C12" i="13" s="1"/>
  <c r="K100" i="1"/>
  <c r="C11" i="13" s="1"/>
  <c r="K99" i="1"/>
  <c r="C10" i="13" s="1"/>
  <c r="K98" i="1"/>
  <c r="C9" i="13" s="1"/>
  <c r="K97" i="1"/>
  <c r="C8" i="13" s="1"/>
  <c r="K96" i="1"/>
  <c r="C7" i="13" s="1"/>
  <c r="K95" i="1"/>
  <c r="C6" i="13" s="1"/>
  <c r="K94" i="1"/>
  <c r="C5" i="13" s="1"/>
  <c r="K93" i="1"/>
  <c r="C6" i="11" s="1"/>
  <c r="K92" i="1"/>
  <c r="K91" i="1"/>
  <c r="K89" i="1"/>
  <c r="C8" i="12" s="1"/>
  <c r="K88" i="1"/>
  <c r="C7" i="12" s="1"/>
  <c r="K87" i="1"/>
  <c r="C6" i="12" s="1"/>
  <c r="K86" i="1"/>
  <c r="C5" i="12" s="1"/>
  <c r="K83" i="1"/>
  <c r="C7" i="22" s="1"/>
  <c r="K82" i="1"/>
  <c r="C6" i="22" s="1"/>
  <c r="K81" i="1"/>
  <c r="C5" i="22" s="1"/>
  <c r="K80" i="1"/>
  <c r="C5" i="11" s="1"/>
  <c r="K78" i="1"/>
  <c r="K77" i="1"/>
  <c r="K76" i="1"/>
  <c r="K75" i="1"/>
  <c r="K74" i="1"/>
  <c r="C11" i="10" s="1"/>
  <c r="K73" i="1"/>
  <c r="K72" i="1"/>
  <c r="C10" i="10" s="1"/>
  <c r="K71" i="1"/>
  <c r="K70" i="1"/>
  <c r="C9" i="10" s="1"/>
  <c r="K69" i="1"/>
  <c r="K68" i="1"/>
  <c r="C8" i="10" s="1"/>
  <c r="K67" i="1"/>
  <c r="K66" i="1"/>
  <c r="C7" i="10" s="1"/>
  <c r="K63" i="1"/>
  <c r="C6" i="9" s="1"/>
  <c r="K62" i="1"/>
  <c r="C5" i="9" s="1"/>
  <c r="K61" i="1"/>
  <c r="C14" i="8" s="1"/>
  <c r="K60" i="1"/>
  <c r="C13" i="8" s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26" i="1"/>
  <c r="C15" i="5" s="1"/>
  <c r="K25" i="1"/>
  <c r="C14" i="5" s="1"/>
  <c r="K24" i="1"/>
  <c r="C13" i="5" s="1"/>
  <c r="K23" i="1"/>
  <c r="C12" i="5" s="1"/>
  <c r="K22" i="1"/>
  <c r="C11" i="5" s="1"/>
  <c r="K21" i="1"/>
  <c r="C10" i="5" s="1"/>
  <c r="K20" i="1"/>
  <c r="C9" i="5" s="1"/>
  <c r="K19" i="1"/>
  <c r="C8" i="5" s="1"/>
  <c r="K18" i="1"/>
  <c r="C7" i="5" s="1"/>
  <c r="K17" i="1"/>
  <c r="K16" i="1"/>
  <c r="C6" i="5" s="1"/>
  <c r="K15" i="1"/>
  <c r="C5" i="5" s="1"/>
  <c r="K14" i="1"/>
  <c r="K13" i="1"/>
  <c r="C15" i="3" s="1"/>
  <c r="K11" i="1"/>
  <c r="K10" i="1"/>
  <c r="C12" i="3" s="1"/>
  <c r="K9" i="1"/>
  <c r="C11" i="3" s="1"/>
  <c r="K8" i="1"/>
  <c r="C10" i="3" s="1"/>
  <c r="K7" i="1"/>
  <c r="C9" i="3" s="1"/>
  <c r="K6" i="1"/>
  <c r="C8" i="3" s="1"/>
  <c r="K4" i="1"/>
  <c r="C5" i="3"/>
  <c r="K2" i="1"/>
  <c r="C5" i="2" s="1"/>
  <c r="T31" i="1"/>
  <c r="AB14" i="1"/>
  <c r="C6" i="3" l="1"/>
  <c r="C7" i="3"/>
  <c r="C13" i="3"/>
  <c r="H7" i="20" l="1"/>
  <c r="N143" i="1"/>
  <c r="N145" i="1"/>
  <c r="N146" i="1"/>
  <c r="N147" i="1"/>
  <c r="N148" i="1"/>
  <c r="N141" i="1"/>
  <c r="C6" i="19"/>
  <c r="C5" i="19"/>
  <c r="H6" i="19"/>
  <c r="C7" i="18"/>
  <c r="C9" i="18"/>
  <c r="C5" i="18"/>
  <c r="H7" i="18"/>
  <c r="H9" i="18"/>
  <c r="C5" i="17"/>
  <c r="C6" i="17"/>
  <c r="C7" i="17"/>
  <c r="C8" i="17"/>
  <c r="H6" i="13" l="1"/>
  <c r="H8" i="13"/>
  <c r="H10" i="13"/>
  <c r="H11" i="13"/>
  <c r="H14" i="13"/>
  <c r="H15" i="13"/>
  <c r="H6" i="11"/>
  <c r="H7" i="22" l="1"/>
  <c r="H6" i="10"/>
  <c r="H12" i="8"/>
  <c r="H6" i="15" l="1"/>
  <c r="H5" i="12"/>
  <c r="F151" i="1"/>
  <c r="F150" i="1"/>
  <c r="H6" i="20" s="1"/>
  <c r="F149" i="1"/>
  <c r="H5" i="20" s="1"/>
  <c r="F148" i="1"/>
  <c r="F147" i="1"/>
  <c r="F146" i="1"/>
  <c r="F145" i="1"/>
  <c r="F143" i="1"/>
  <c r="F141" i="1"/>
  <c r="F140" i="1"/>
  <c r="F139" i="1"/>
  <c r="F138" i="1"/>
  <c r="F137" i="1"/>
  <c r="F136" i="1"/>
  <c r="F135" i="1"/>
  <c r="H8" i="17" s="1"/>
  <c r="F134" i="1"/>
  <c r="H7" i="17" s="1"/>
  <c r="F133" i="1"/>
  <c r="H6" i="17" s="1"/>
  <c r="F132" i="1"/>
  <c r="H5" i="17" s="1"/>
  <c r="F131" i="1"/>
  <c r="F130" i="1"/>
  <c r="F129" i="1"/>
  <c r="H10" i="16" s="1"/>
  <c r="F128" i="1"/>
  <c r="H9" i="16" s="1"/>
  <c r="F127" i="1"/>
  <c r="H8" i="16" s="1"/>
  <c r="F126" i="1"/>
  <c r="F125" i="1"/>
  <c r="F124" i="1"/>
  <c r="H7" i="16" s="1"/>
  <c r="F123" i="1"/>
  <c r="H6" i="16" s="1"/>
  <c r="F122" i="1"/>
  <c r="F121" i="1"/>
  <c r="F120" i="1"/>
  <c r="H5" i="15" s="1"/>
  <c r="F118" i="1"/>
  <c r="F117" i="1"/>
  <c r="F116" i="1"/>
  <c r="F115" i="1"/>
  <c r="F114" i="1"/>
  <c r="F113" i="1"/>
  <c r="F112" i="1"/>
  <c r="F111" i="1"/>
  <c r="F107" i="1"/>
  <c r="H18" i="13" s="1"/>
  <c r="F106" i="1"/>
  <c r="H17" i="13" s="1"/>
  <c r="F105" i="1"/>
  <c r="H16" i="13" s="1"/>
  <c r="F104" i="1"/>
  <c r="F103" i="1"/>
  <c r="F102" i="1"/>
  <c r="H13" i="13" s="1"/>
  <c r="F101" i="1"/>
  <c r="H12" i="13" s="1"/>
  <c r="F100" i="1"/>
  <c r="F99" i="1"/>
  <c r="F98" i="1"/>
  <c r="H9" i="13" s="1"/>
  <c r="F97" i="1"/>
  <c r="F96" i="1"/>
  <c r="H7" i="13" s="1"/>
  <c r="F95" i="1"/>
  <c r="F94" i="1"/>
  <c r="F93" i="1"/>
  <c r="F92" i="1"/>
  <c r="F91" i="1"/>
  <c r="F89" i="1"/>
  <c r="F88" i="1"/>
  <c r="H7" i="12" s="1"/>
  <c r="F87" i="1"/>
  <c r="H6" i="12" s="1"/>
  <c r="F86" i="1"/>
  <c r="F84" i="1"/>
  <c r="F83" i="1"/>
  <c r="F82" i="1"/>
  <c r="F81" i="1"/>
  <c r="F80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3" i="1"/>
  <c r="H6" i="9" s="1"/>
  <c r="F62" i="1"/>
  <c r="F61" i="1"/>
  <c r="H14" i="8" s="1"/>
  <c r="F60" i="1"/>
  <c r="H13" i="8" s="1"/>
  <c r="F59" i="1"/>
  <c r="F58" i="1"/>
  <c r="H11" i="8" s="1"/>
  <c r="F57" i="1"/>
  <c r="H10" i="8" s="1"/>
  <c r="F56" i="1"/>
  <c r="H9" i="8" s="1"/>
  <c r="F55" i="1"/>
  <c r="H8" i="8" s="1"/>
  <c r="F54" i="1"/>
  <c r="H7" i="8" s="1"/>
  <c r="F53" i="1"/>
  <c r="H6" i="8" s="1"/>
  <c r="F52" i="1"/>
  <c r="AB35" i="1"/>
  <c r="AI22" i="1"/>
  <c r="AI20" i="1" s="1"/>
  <c r="AH22" i="1"/>
  <c r="AH20" i="1" s="1"/>
  <c r="AG22" i="1"/>
  <c r="AG20" i="1" s="1"/>
  <c r="AF22" i="1"/>
  <c r="AF20" i="1" s="1"/>
  <c r="AE22" i="1"/>
  <c r="AE20" i="1" s="1"/>
  <c r="AJ20" i="1"/>
  <c r="Y4" i="1"/>
  <c r="X4" i="1"/>
  <c r="W4" i="1"/>
  <c r="V4" i="1"/>
  <c r="Z3" i="1"/>
  <c r="Y3" i="1"/>
  <c r="X3" i="1"/>
  <c r="W3" i="1"/>
  <c r="V3" i="1"/>
  <c r="G10" i="23"/>
  <c r="I10" i="23" s="1"/>
  <c r="H7" i="23"/>
  <c r="H12" i="23" s="1"/>
  <c r="G7" i="23"/>
  <c r="I7" i="23" s="1"/>
  <c r="C137" i="1"/>
  <c r="C121" i="1"/>
  <c r="C131" i="1"/>
  <c r="C134" i="1"/>
  <c r="C138" i="1"/>
  <c r="C132" i="1"/>
  <c r="C140" i="1"/>
  <c r="C136" i="1"/>
  <c r="C133" i="1"/>
  <c r="C120" i="1"/>
  <c r="C135" i="1"/>
  <c r="C139" i="1"/>
  <c r="H6" i="22" l="1"/>
  <c r="H8" i="22"/>
  <c r="H9" i="22"/>
  <c r="H8" i="12"/>
  <c r="V6" i="1"/>
  <c r="H5" i="16"/>
  <c r="X6" i="1"/>
  <c r="W6" i="1"/>
  <c r="Y6" i="1"/>
  <c r="H5" i="22"/>
  <c r="H5" i="11"/>
  <c r="H5" i="13"/>
  <c r="H5" i="9"/>
  <c r="H5" i="8"/>
  <c r="C90" i="1"/>
  <c r="C106" i="1"/>
  <c r="C128" i="1"/>
  <c r="C129" i="1"/>
  <c r="C123" i="1"/>
  <c r="C107" i="1"/>
  <c r="C80" i="1"/>
  <c r="C99" i="1"/>
  <c r="C127" i="1"/>
  <c r="C91" i="1"/>
  <c r="C125" i="1"/>
  <c r="C104" i="1"/>
  <c r="C84" i="1"/>
  <c r="C95" i="1"/>
  <c r="C56" i="1"/>
  <c r="C89" i="1"/>
  <c r="C130" i="1"/>
  <c r="C58" i="1"/>
  <c r="C88" i="1"/>
  <c r="C124" i="1"/>
  <c r="C55" i="1"/>
  <c r="C63" i="1"/>
  <c r="C101" i="1"/>
  <c r="C100" i="1"/>
  <c r="C62" i="1"/>
  <c r="C87" i="1"/>
  <c r="C94" i="1"/>
  <c r="C122" i="1"/>
  <c r="C61" i="1"/>
  <c r="C60" i="1"/>
  <c r="C93" i="1"/>
  <c r="C57" i="1"/>
  <c r="C81" i="1"/>
  <c r="C85" i="1"/>
  <c r="C102" i="1"/>
  <c r="C86" i="1"/>
  <c r="C126" i="1"/>
  <c r="C92" i="1"/>
  <c r="C52" i="1"/>
  <c r="C53" i="1"/>
  <c r="C83" i="1"/>
  <c r="C54" i="1"/>
  <c r="C103" i="1"/>
  <c r="C98" i="1"/>
  <c r="C105" i="1"/>
  <c r="C59" i="1"/>
  <c r="C97" i="1"/>
  <c r="C82" i="1"/>
  <c r="C96" i="1"/>
  <c r="J85" i="1" l="1"/>
  <c r="J90" i="1"/>
  <c r="I13" i="7" l="1"/>
  <c r="AP2" i="1"/>
  <c r="H2" i="1" s="1"/>
  <c r="I12" i="7" l="1"/>
  <c r="H3" i="1"/>
  <c r="H12" i="1"/>
  <c r="H5" i="1"/>
  <c r="H4" i="1" l="1"/>
  <c r="H27" i="1" l="1"/>
  <c r="H28" i="1"/>
  <c r="H29" i="1"/>
  <c r="H6" i="1"/>
  <c r="H30" i="1"/>
  <c r="H32" i="1" l="1"/>
  <c r="H31" i="1"/>
  <c r="H7" i="1"/>
  <c r="H8" i="1" l="1"/>
  <c r="H9" i="1" l="1"/>
  <c r="H10" i="1" l="1"/>
  <c r="H11" i="1" l="1"/>
  <c r="H13" i="1" l="1"/>
  <c r="H14" i="1" l="1"/>
  <c r="H85" i="1"/>
  <c r="H15" i="1" l="1"/>
  <c r="H90" i="1"/>
  <c r="H16" i="1" l="1"/>
  <c r="H17" i="1" l="1"/>
  <c r="H18" i="1" l="1"/>
  <c r="H19" i="1" l="1"/>
  <c r="H20" i="1" l="1"/>
  <c r="H119" i="1"/>
  <c r="H21" i="1" l="1"/>
  <c r="P22" i="1" l="1"/>
  <c r="H22" i="1"/>
  <c r="P23" i="1" l="1"/>
  <c r="H23" i="1"/>
  <c r="P24" i="1" l="1"/>
  <c r="H24" i="1"/>
  <c r="P25" i="1" l="1"/>
  <c r="H25" i="1"/>
  <c r="P26" i="1" l="1"/>
  <c r="H26" i="1"/>
  <c r="P33" i="1" l="1"/>
  <c r="H33" i="1"/>
  <c r="T9" i="1" l="1"/>
  <c r="H34" i="1"/>
  <c r="V9" i="1" l="1"/>
  <c r="H35" i="1"/>
  <c r="W9" i="1" l="1"/>
  <c r="H36" i="1"/>
  <c r="X9" i="1" l="1"/>
  <c r="Y9" i="1" s="1"/>
  <c r="H37" i="1"/>
  <c r="H38" i="1" l="1"/>
  <c r="AB6" i="1" l="1"/>
  <c r="H39" i="1"/>
  <c r="T32" i="1" a="1"/>
  <c r="N2" i="1" l="1"/>
  <c r="N4" i="1"/>
  <c r="F4" i="1" s="1"/>
  <c r="N6" i="1"/>
  <c r="F6" i="1" s="1"/>
  <c r="N7" i="1"/>
  <c r="F7" i="1" s="1"/>
  <c r="N8" i="1"/>
  <c r="F8" i="1" s="1"/>
  <c r="N9" i="1"/>
  <c r="F9" i="1" s="1"/>
  <c r="N10" i="1"/>
  <c r="F10" i="1" s="1"/>
  <c r="N11" i="1"/>
  <c r="F11" i="1" s="1"/>
  <c r="N13" i="1"/>
  <c r="F13" i="1" s="1"/>
  <c r="N14" i="1"/>
  <c r="F14" i="1" s="1"/>
  <c r="N15" i="1"/>
  <c r="F15" i="1" s="1"/>
  <c r="N16" i="1"/>
  <c r="F16" i="1" s="1"/>
  <c r="N17" i="1"/>
  <c r="F17" i="1" s="1"/>
  <c r="N18" i="1"/>
  <c r="F18" i="1" s="1"/>
  <c r="N19" i="1"/>
  <c r="F19" i="1" s="1"/>
  <c r="N20" i="1"/>
  <c r="F20" i="1" s="1"/>
  <c r="N21" i="1"/>
  <c r="F21" i="1" s="1"/>
  <c r="N22" i="1"/>
  <c r="F22" i="1" s="1"/>
  <c r="N23" i="1"/>
  <c r="F23" i="1" s="1"/>
  <c r="N24" i="1"/>
  <c r="F24" i="1" s="1"/>
  <c r="N25" i="1"/>
  <c r="F25" i="1" s="1"/>
  <c r="N26" i="1"/>
  <c r="F26" i="1" s="1"/>
  <c r="N33" i="1"/>
  <c r="F33" i="1" s="1"/>
  <c r="T32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80" i="1"/>
  <c r="H81" i="1"/>
  <c r="H82" i="1"/>
  <c r="H83" i="1"/>
  <c r="H84" i="1"/>
  <c r="H86" i="1"/>
  <c r="H87" i="1"/>
  <c r="H88" i="1"/>
  <c r="H89" i="1"/>
  <c r="H91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10" i="1"/>
  <c r="H111" i="1"/>
  <c r="H112" i="1"/>
  <c r="H113" i="1"/>
  <c r="H114" i="1"/>
  <c r="H115" i="1"/>
  <c r="H116" i="1"/>
  <c r="H117" i="1"/>
  <c r="H118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3" i="1"/>
  <c r="H145" i="1"/>
  <c r="H146" i="1"/>
  <c r="H147" i="1"/>
  <c r="H148" i="1"/>
  <c r="H149" i="1"/>
  <c r="H150" i="1"/>
  <c r="H151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J5" i="16"/>
  <c r="F29" i="23" s="1"/>
  <c r="H5" i="3"/>
  <c r="G9" i="23"/>
  <c r="G11" i="23"/>
  <c r="G22" i="23"/>
  <c r="I22" i="23" a="1"/>
  <c r="I22" i="23" s="1"/>
  <c r="G23" i="23"/>
  <c r="G24" i="23"/>
  <c r="I24" i="23" a="1"/>
  <c r="I24" i="23" s="1"/>
  <c r="G25" i="23"/>
  <c r="I25" i="23" a="1"/>
  <c r="I25" i="23" s="1"/>
  <c r="G26" i="23"/>
  <c r="I26" i="23" a="1"/>
  <c r="I26" i="23" s="1"/>
  <c r="G27" i="23"/>
  <c r="I27" i="23" a="1"/>
  <c r="I27" i="23" s="1"/>
  <c r="G28" i="23"/>
  <c r="I28" i="23" a="1"/>
  <c r="I28" i="23" s="1"/>
  <c r="G29" i="23"/>
  <c r="H29" i="23" a="1"/>
  <c r="H29" i="23" s="1"/>
  <c r="I29" i="23" a="1"/>
  <c r="I29" i="23" s="1"/>
  <c r="G30" i="23"/>
  <c r="G31" i="23"/>
  <c r="G32" i="23"/>
  <c r="I32" i="23" a="1"/>
  <c r="I32" i="23" s="1"/>
  <c r="C213" i="1"/>
  <c r="C199" i="1"/>
  <c r="C203" i="1"/>
  <c r="C195" i="1"/>
  <c r="T35" i="1" a="1"/>
  <c r="C221" i="1"/>
  <c r="C186" i="1"/>
  <c r="C236" i="1"/>
  <c r="C219" i="1"/>
  <c r="C226" i="1"/>
  <c r="C189" i="1"/>
  <c r="C237" i="1"/>
  <c r="C232" i="1"/>
  <c r="C163" i="1"/>
  <c r="C174" i="1"/>
  <c r="C187" i="1"/>
  <c r="C223" i="1"/>
  <c r="C172" i="1"/>
  <c r="C191" i="1"/>
  <c r="C173" i="1"/>
  <c r="C161" i="1"/>
  <c r="C204" i="1"/>
  <c r="C165" i="1"/>
  <c r="C183" i="1"/>
  <c r="C197" i="1"/>
  <c r="C159" i="1"/>
  <c r="C167" i="1"/>
  <c r="C227" i="1"/>
  <c r="C185" i="1"/>
  <c r="C193" i="1"/>
  <c r="C168" i="1"/>
  <c r="C209" i="1"/>
  <c r="C238" i="1"/>
  <c r="C222" i="1"/>
  <c r="C170" i="1"/>
  <c r="C166" i="1"/>
  <c r="C194" i="1"/>
  <c r="C162" i="1"/>
  <c r="C205" i="1"/>
  <c r="C233" i="1"/>
  <c r="C200" i="1"/>
  <c r="C176" i="1"/>
  <c r="C175" i="1"/>
  <c r="C210" i="1"/>
  <c r="C164" i="1"/>
  <c r="C182" i="1"/>
  <c r="C171" i="1"/>
  <c r="C230" i="1"/>
  <c r="C192" i="1"/>
  <c r="C231" i="1"/>
  <c r="C235" i="1"/>
  <c r="C177" i="1"/>
  <c r="C178" i="1"/>
  <c r="C206" i="1"/>
  <c r="C184" i="1"/>
  <c r="C180" i="1"/>
  <c r="C201" i="1"/>
  <c r="C225" i="1"/>
  <c r="C216" i="1"/>
  <c r="C211" i="1"/>
  <c r="C188" i="1"/>
  <c r="C160" i="1"/>
  <c r="C214" i="1"/>
  <c r="C215" i="1"/>
  <c r="C224" i="1"/>
  <c r="C190" i="1"/>
  <c r="C212" i="1"/>
  <c r="C179" i="1"/>
  <c r="C234" i="1"/>
  <c r="C228" i="1"/>
  <c r="C196" i="1"/>
  <c r="C239" i="1"/>
  <c r="C217" i="1"/>
  <c r="C202" i="1"/>
  <c r="C229" i="1"/>
  <c r="C218" i="1"/>
  <c r="C181" i="1"/>
  <c r="C198" i="1"/>
  <c r="C207" i="1"/>
  <c r="C220" i="1"/>
  <c r="C208" i="1"/>
  <c r="C169" i="1"/>
  <c r="G16" i="23" l="1"/>
  <c r="J26" i="1"/>
  <c r="J22" i="1"/>
  <c r="J25" i="1"/>
  <c r="J21" i="1"/>
  <c r="J17" i="1"/>
  <c r="J18" i="1"/>
  <c r="J24" i="1"/>
  <c r="J20" i="1"/>
  <c r="J16" i="1"/>
  <c r="J33" i="1"/>
  <c r="J23" i="1"/>
  <c r="J19" i="1"/>
  <c r="J15" i="1"/>
  <c r="J149" i="1"/>
  <c r="J128" i="1"/>
  <c r="J54" i="1"/>
  <c r="J125" i="1"/>
  <c r="J82" i="1"/>
  <c r="J56" i="1"/>
  <c r="J98" i="1"/>
  <c r="J83" i="1"/>
  <c r="J55" i="1"/>
  <c r="J63" i="1"/>
  <c r="J58" i="1"/>
  <c r="J62" i="1"/>
  <c r="J105" i="1"/>
  <c r="J104" i="1"/>
  <c r="J137" i="1"/>
  <c r="J61" i="1"/>
  <c r="J135" i="1"/>
  <c r="J99" i="1"/>
  <c r="J130" i="1"/>
  <c r="J102" i="1"/>
  <c r="J148" i="1"/>
  <c r="J123" i="1"/>
  <c r="J101" i="1"/>
  <c r="J59" i="1"/>
  <c r="J60" i="1"/>
  <c r="J97" i="1"/>
  <c r="J93" i="1"/>
  <c r="J92" i="1"/>
  <c r="J88" i="1"/>
  <c r="J89" i="1"/>
  <c r="J86" i="1"/>
  <c r="J96" i="1"/>
  <c r="J134" i="1"/>
  <c r="J129" i="1"/>
  <c r="J52" i="1"/>
  <c r="J133" i="1"/>
  <c r="J124" i="1"/>
  <c r="J106" i="1"/>
  <c r="J91" i="1"/>
  <c r="J94" i="1"/>
  <c r="J127" i="1"/>
  <c r="J122" i="1"/>
  <c r="J140" i="1"/>
  <c r="J131" i="1"/>
  <c r="J126" i="1"/>
  <c r="J87" i="1"/>
  <c r="J150" i="1"/>
  <c r="J136" i="1"/>
  <c r="J53" i="1"/>
  <c r="J103" i="1"/>
  <c r="J138" i="1"/>
  <c r="J84" i="1"/>
  <c r="J151" i="1"/>
  <c r="J57" i="1"/>
  <c r="J120" i="1"/>
  <c r="J145" i="1"/>
  <c r="J139" i="1"/>
  <c r="J100" i="1"/>
  <c r="J121" i="1"/>
  <c r="J147" i="1"/>
  <c r="J132" i="1"/>
  <c r="J107" i="1"/>
  <c r="J146" i="1"/>
  <c r="J143" i="1"/>
  <c r="J80" i="1"/>
  <c r="J81" i="1"/>
  <c r="J95" i="1"/>
  <c r="F2" i="1"/>
  <c r="K56" i="1"/>
  <c r="C9" i="8" s="1"/>
  <c r="K52" i="1"/>
  <c r="C5" i="8" s="1"/>
  <c r="K57" i="1"/>
  <c r="C10" i="8" s="1"/>
  <c r="K53" i="1"/>
  <c r="C6" i="8" s="1"/>
  <c r="K58" i="1"/>
  <c r="C11" i="8" s="1"/>
  <c r="K54" i="1"/>
  <c r="C7" i="8" s="1"/>
  <c r="K59" i="1"/>
  <c r="C12" i="8" s="1"/>
  <c r="K55" i="1"/>
  <c r="C8" i="8" s="1"/>
  <c r="T35" i="1"/>
  <c r="C14" i="1"/>
  <c r="P14" i="1" l="1"/>
  <c r="J14" i="1"/>
  <c r="I11" i="23" a="1"/>
  <c r="I11" i="23" s="1"/>
  <c r="H5" i="2"/>
  <c r="F10" i="23" s="1"/>
  <c r="G21" i="23"/>
  <c r="I21" i="23" a="1"/>
  <c r="I21" i="23" s="1"/>
  <c r="C2" i="1"/>
  <c r="AG6" i="1" l="1"/>
  <c r="AH6" i="1"/>
  <c r="AF6" i="1"/>
  <c r="P2" i="1"/>
  <c r="J2" i="1"/>
  <c r="F8" i="23"/>
  <c r="F7" i="23"/>
  <c r="H11" i="23" a="1"/>
  <c r="H11" i="23" s="1"/>
  <c r="J5" i="5"/>
  <c r="F11" i="23" s="1"/>
  <c r="H9" i="23" l="1" a="1"/>
  <c r="H9" i="23" s="1"/>
  <c r="J5" i="3"/>
  <c r="F9" i="23" s="1"/>
  <c r="F16" i="23" l="1"/>
  <c r="H16" i="23"/>
  <c r="H16" i="3"/>
  <c r="H20" i="23" a="1"/>
  <c r="H20" i="23" s="1"/>
  <c r="J5" i="8"/>
  <c r="F21" i="23" s="1"/>
  <c r="H21" i="23" a="1"/>
  <c r="H21" i="23" s="1"/>
  <c r="J5" i="9"/>
  <c r="F22" i="23" s="1"/>
  <c r="H22" i="23" a="1"/>
  <c r="H22" i="23" s="1"/>
  <c r="H23" i="23" a="1"/>
  <c r="H23" i="23" s="1"/>
  <c r="J5" i="22"/>
  <c r="F24" i="23" s="1"/>
  <c r="H24" i="23" a="1"/>
  <c r="H24" i="23" s="1"/>
  <c r="J5" i="12"/>
  <c r="F25" i="23" s="1"/>
  <c r="H25" i="23" a="1"/>
  <c r="H25" i="23" s="1"/>
  <c r="J5" i="11"/>
  <c r="F26" i="23" s="1"/>
  <c r="H26" i="23" a="1"/>
  <c r="H26" i="23" s="1"/>
  <c r="H27" i="23" a="1"/>
  <c r="H27" i="23" s="1"/>
  <c r="J5" i="13"/>
  <c r="F27" i="23" s="1"/>
  <c r="J5" i="15"/>
  <c r="F28" i="23" s="1"/>
  <c r="H28" i="23" a="1"/>
  <c r="H28" i="23" s="1"/>
  <c r="J5" i="18"/>
  <c r="F30" i="23" s="1"/>
  <c r="H30" i="23" a="1"/>
  <c r="H30" i="23" s="1"/>
  <c r="H31" i="23" a="1"/>
  <c r="H31" i="23" s="1"/>
  <c r="J5" i="19"/>
  <c r="F31" i="23" s="1"/>
  <c r="H32" i="23" a="1"/>
  <c r="H32" i="23" s="1"/>
  <c r="J5" i="20"/>
  <c r="F32" i="23" s="1"/>
  <c r="C7" i="1"/>
  <c r="C12" i="1"/>
  <c r="C10" i="1"/>
  <c r="C8" i="1"/>
  <c r="C5" i="1"/>
  <c r="C6" i="1"/>
  <c r="C9" i="1"/>
  <c r="C4" i="1"/>
  <c r="C13" i="1"/>
  <c r="C3" i="1"/>
  <c r="C11" i="1"/>
  <c r="P3" i="1" l="1"/>
  <c r="J3" i="1"/>
  <c r="P7" i="1"/>
  <c r="J7" i="1"/>
  <c r="P11" i="1"/>
  <c r="J11" i="1"/>
  <c r="P4" i="1"/>
  <c r="J4" i="1"/>
  <c r="P8" i="1"/>
  <c r="J8" i="1"/>
  <c r="J12" i="1"/>
  <c r="P12" i="1"/>
  <c r="P5" i="1"/>
  <c r="J5" i="1"/>
  <c r="P9" i="1"/>
  <c r="J9" i="1"/>
  <c r="P13" i="1"/>
  <c r="J13" i="1"/>
  <c r="P6" i="1"/>
  <c r="J6" i="1"/>
  <c r="P10" i="1"/>
  <c r="J10" i="1"/>
  <c r="I9" i="23" a="1"/>
  <c r="I9" i="23" s="1"/>
  <c r="H36" i="23"/>
  <c r="H40" i="23" s="1"/>
  <c r="Q10" i="1" l="1"/>
  <c r="Q6" i="1"/>
  <c r="Q9" i="1"/>
  <c r="Q4" i="1"/>
  <c r="Q7" i="1"/>
  <c r="Q13" i="1"/>
  <c r="Q5" i="1"/>
  <c r="Q8" i="1"/>
  <c r="Q11" i="1"/>
  <c r="Q12" i="1"/>
  <c r="Q30" i="1"/>
  <c r="Q27" i="1"/>
  <c r="Q31" i="1"/>
  <c r="Q25" i="1"/>
  <c r="Q2" i="1"/>
  <c r="Q14" i="1"/>
  <c r="Q19" i="1"/>
  <c r="Q24" i="1"/>
  <c r="Q32" i="1"/>
  <c r="Q22" i="1"/>
  <c r="T20" i="1"/>
  <c r="Q18" i="1"/>
  <c r="Q33" i="1"/>
  <c r="Q28" i="1"/>
  <c r="T16" i="1"/>
  <c r="Q3" i="1"/>
  <c r="Q29" i="1"/>
  <c r="Q23" i="1"/>
  <c r="Z4" i="1"/>
  <c r="Z6" i="1" s="1"/>
  <c r="Z9" i="1" s="1"/>
  <c r="AB9" i="1" s="1"/>
  <c r="AL9" i="1" s="1"/>
  <c r="Q15" i="1"/>
  <c r="Q20" i="1"/>
  <c r="Q26" i="1"/>
  <c r="Q17" i="1"/>
  <c r="Q16" i="1"/>
  <c r="Q21" i="1"/>
  <c r="T18" i="1" l="1"/>
  <c r="AB16" i="1"/>
  <c r="H5" i="19" l="1"/>
  <c r="I31" i="23" s="1" a="1"/>
  <c r="I31" i="23" s="1"/>
  <c r="H5" i="18"/>
  <c r="H13" i="10"/>
  <c r="H9" i="10"/>
  <c r="H12" i="10"/>
  <c r="H10" i="10"/>
  <c r="H11" i="10"/>
  <c r="H14" i="10"/>
  <c r="H5" i="10"/>
  <c r="H8" i="10"/>
  <c r="H15" i="10"/>
  <c r="C142" i="1"/>
  <c r="C141" i="1"/>
  <c r="J142" i="1" l="1"/>
  <c r="Z20" i="1"/>
  <c r="Z26" i="1" s="1"/>
  <c r="H7" i="7"/>
  <c r="H11" i="7"/>
  <c r="H9" i="7"/>
  <c r="H13" i="7"/>
  <c r="H6" i="7"/>
  <c r="H10" i="7"/>
  <c r="H5" i="7"/>
  <c r="H8" i="7"/>
  <c r="H12" i="7"/>
  <c r="Z24" i="1"/>
  <c r="Z25" i="1"/>
  <c r="Z32" i="1"/>
  <c r="Z28" i="1"/>
  <c r="Z31" i="1"/>
  <c r="Z30" i="1"/>
  <c r="J141" i="1"/>
  <c r="I30" i="23" a="1"/>
  <c r="I30" i="23" s="1"/>
  <c r="C42" i="1"/>
  <c r="C38" i="1"/>
  <c r="C44" i="1"/>
  <c r="C39" i="1"/>
  <c r="C49" i="1"/>
  <c r="C45" i="1"/>
  <c r="C36" i="1"/>
  <c r="C40" i="1"/>
  <c r="C48" i="1"/>
  <c r="C43" i="1"/>
  <c r="C46" i="1"/>
  <c r="C50" i="1"/>
  <c r="C34" i="1"/>
  <c r="C47" i="1"/>
  <c r="C51" i="1"/>
  <c r="C41" i="1"/>
  <c r="C35" i="1"/>
  <c r="C37" i="1"/>
  <c r="Z29" i="1" l="1"/>
  <c r="Z27" i="1"/>
  <c r="N42" i="1"/>
  <c r="N41" i="1"/>
  <c r="N40" i="1"/>
  <c r="N51" i="1"/>
  <c r="N49" i="1"/>
  <c r="N50" i="1"/>
  <c r="N47" i="1"/>
  <c r="N48" i="1"/>
  <c r="AB27" i="1"/>
  <c r="AA27" i="1"/>
  <c r="AB32" i="1"/>
  <c r="AA32" i="1"/>
  <c r="AB30" i="1"/>
  <c r="AA30" i="1"/>
  <c r="AB26" i="1"/>
  <c r="AA26" i="1"/>
  <c r="AB31" i="1"/>
  <c r="AA31" i="1"/>
  <c r="AB25" i="1"/>
  <c r="AA25" i="1"/>
  <c r="AB28" i="1"/>
  <c r="AA28" i="1"/>
  <c r="AB29" i="1"/>
  <c r="AA29" i="1"/>
  <c r="AB24" i="1"/>
  <c r="AA24" i="1"/>
  <c r="F11" i="7"/>
  <c r="C11" i="7"/>
  <c r="C5" i="7"/>
  <c r="F5" i="7"/>
  <c r="C8" i="7"/>
  <c r="F8" i="7"/>
  <c r="F9" i="7"/>
  <c r="C9" i="7"/>
  <c r="C10" i="7"/>
  <c r="F10" i="7"/>
  <c r="C12" i="7"/>
  <c r="F12" i="7"/>
  <c r="F7" i="7"/>
  <c r="C7" i="7"/>
  <c r="F13" i="7"/>
  <c r="C13" i="7"/>
  <c r="F6" i="7"/>
  <c r="C6" i="7"/>
  <c r="Z38" i="1" l="1"/>
  <c r="AE24" i="1"/>
  <c r="AF24" i="1" s="1"/>
  <c r="AB37" i="1"/>
  <c r="Z37" i="1"/>
  <c r="Z39" i="1"/>
  <c r="G20" i="23"/>
  <c r="AF37" i="1" l="1"/>
  <c r="G36" i="23"/>
  <c r="G40" i="23" s="1"/>
  <c r="AE37" i="1"/>
  <c r="AE25" i="1"/>
  <c r="AG24" i="1"/>
  <c r="AE38" i="1" l="1"/>
  <c r="AF25" i="1"/>
  <c r="AG25" i="1" s="1"/>
  <c r="AG38" i="1" s="1"/>
  <c r="AE26" i="1"/>
  <c r="AE27" i="1" s="1"/>
  <c r="AG37" i="1"/>
  <c r="AH24" i="1"/>
  <c r="AI24" i="1" s="1"/>
  <c r="AE40" i="1" l="1"/>
  <c r="AI37" i="1"/>
  <c r="AE39" i="1"/>
  <c r="AF26" i="1"/>
  <c r="AF39" i="1" s="1"/>
  <c r="AE28" i="1"/>
  <c r="AE29" i="1" s="1"/>
  <c r="AH37" i="1"/>
  <c r="AJ24" i="1"/>
  <c r="AH25" i="1"/>
  <c r="AH38" i="1" s="1"/>
  <c r="AF38" i="1"/>
  <c r="AI25" i="1" l="1"/>
  <c r="AI38" i="1" s="1"/>
  <c r="AE42" i="1"/>
  <c r="AJ37" i="1"/>
  <c r="AE41" i="1"/>
  <c r="AE30" i="1"/>
  <c r="AE31" i="1" s="1"/>
  <c r="AG26" i="1"/>
  <c r="AF27" i="1"/>
  <c r="AF28" i="1" s="1"/>
  <c r="AF41" i="1" s="1"/>
  <c r="AJ25" i="1" l="1"/>
  <c r="AJ38" i="1" s="1"/>
  <c r="AE32" i="1"/>
  <c r="AE45" i="1" s="1"/>
  <c r="AG39" i="1"/>
  <c r="AH26" i="1"/>
  <c r="AE44" i="1"/>
  <c r="AL37" i="1"/>
  <c r="AF29" i="1"/>
  <c r="AF30" i="1" s="1"/>
  <c r="AF43" i="1" s="1"/>
  <c r="AE43" i="1"/>
  <c r="AF40" i="1"/>
  <c r="AG27" i="1"/>
  <c r="AE34" i="1" l="1"/>
  <c r="AL38" i="1"/>
  <c r="AM38" i="1" s="1"/>
  <c r="AF31" i="1"/>
  <c r="AF44" i="1" s="1"/>
  <c r="AE50" i="1"/>
  <c r="AH39" i="1"/>
  <c r="AG40" i="1"/>
  <c r="AG28" i="1"/>
  <c r="AE47" i="1"/>
  <c r="AF42" i="1"/>
  <c r="AM37" i="1"/>
  <c r="AH27" i="1"/>
  <c r="AI26" i="1"/>
  <c r="AJ26" i="1" s="1"/>
  <c r="N43" i="1" l="1"/>
  <c r="F43" i="1" s="1"/>
  <c r="N34" i="1"/>
  <c r="N44" i="1"/>
  <c r="F44" i="1" s="1"/>
  <c r="N35" i="1"/>
  <c r="F35" i="1" s="1"/>
  <c r="J35" i="1" s="1"/>
  <c r="AF32" i="1"/>
  <c r="AF45" i="1" s="1"/>
  <c r="AF47" i="1" s="1"/>
  <c r="AJ39" i="1"/>
  <c r="AH40" i="1"/>
  <c r="AI39" i="1"/>
  <c r="AI27" i="1"/>
  <c r="AI40" i="1" s="1"/>
  <c r="AG41" i="1"/>
  <c r="AH28" i="1"/>
  <c r="AH41" i="1" s="1"/>
  <c r="AG29" i="1"/>
  <c r="AE49" i="1"/>
  <c r="AL39" i="1" l="1"/>
  <c r="AM39" i="1" s="1"/>
  <c r="AF50" i="1"/>
  <c r="AF49" i="1" s="1"/>
  <c r="AF34" i="1"/>
  <c r="J44" i="1"/>
  <c r="E6" i="7"/>
  <c r="AG42" i="1"/>
  <c r="AH29" i="1"/>
  <c r="AG30" i="1"/>
  <c r="AJ27" i="1"/>
  <c r="J43" i="1"/>
  <c r="AI28" i="1"/>
  <c r="F34" i="1"/>
  <c r="N46" i="1" l="1"/>
  <c r="F46" i="1" s="1"/>
  <c r="N37" i="1"/>
  <c r="F37" i="1" s="1"/>
  <c r="J37" i="1" s="1"/>
  <c r="J34" i="1"/>
  <c r="E5" i="7"/>
  <c r="I6" i="7"/>
  <c r="AJ28" i="1"/>
  <c r="AJ41" i="1" s="1"/>
  <c r="AH42" i="1"/>
  <c r="AI41" i="1"/>
  <c r="AI29" i="1"/>
  <c r="AI42" i="1" s="1"/>
  <c r="AJ40" i="1"/>
  <c r="AG43" i="1"/>
  <c r="AH30" i="1"/>
  <c r="AH43" i="1" s="1"/>
  <c r="AG31" i="1"/>
  <c r="I5" i="7" l="1"/>
  <c r="E8" i="7"/>
  <c r="I8" i="7" s="1"/>
  <c r="AI30" i="1"/>
  <c r="AI43" i="1" s="1"/>
  <c r="AL41" i="1"/>
  <c r="AM41" i="1" s="1"/>
  <c r="AG44" i="1"/>
  <c r="AH31" i="1"/>
  <c r="AH44" i="1" s="1"/>
  <c r="AG32" i="1"/>
  <c r="AJ29" i="1"/>
  <c r="J46" i="1"/>
  <c r="AL40" i="1"/>
  <c r="F47" i="1" l="1"/>
  <c r="J47" i="1" s="1"/>
  <c r="N38" i="1"/>
  <c r="F38" i="1" s="1"/>
  <c r="J38" i="1" s="1"/>
  <c r="AG45" i="1"/>
  <c r="AG47" i="1" s="1"/>
  <c r="AH32" i="1"/>
  <c r="AG50" i="1"/>
  <c r="AM40" i="1"/>
  <c r="F48" i="1"/>
  <c r="AJ42" i="1"/>
  <c r="AL42" i="1" s="1"/>
  <c r="AM42" i="1" s="1"/>
  <c r="N39" i="1" s="1"/>
  <c r="F39" i="1" s="1"/>
  <c r="J39" i="1" s="1"/>
  <c r="AI31" i="1"/>
  <c r="AJ30" i="1"/>
  <c r="AG34" i="1"/>
  <c r="E9" i="7" l="1"/>
  <c r="I9" i="7" s="1"/>
  <c r="N45" i="1"/>
  <c r="F45" i="1" s="1"/>
  <c r="N36" i="1"/>
  <c r="AJ31" i="1"/>
  <c r="AL44" i="1" s="1"/>
  <c r="AM44" i="1" s="1"/>
  <c r="E10" i="7"/>
  <c r="I10" i="7" s="1"/>
  <c r="J48" i="1"/>
  <c r="AH45" i="1"/>
  <c r="AH47" i="1" s="1"/>
  <c r="AH34" i="1"/>
  <c r="AH50" i="1"/>
  <c r="AI44" i="1"/>
  <c r="AJ43" i="1"/>
  <c r="AL43" i="1"/>
  <c r="AI32" i="1"/>
  <c r="AG49" i="1"/>
  <c r="E5" i="10" l="1"/>
  <c r="E6" i="10"/>
  <c r="E11" i="10"/>
  <c r="E16" i="10"/>
  <c r="E20" i="10"/>
  <c r="E10" i="10"/>
  <c r="E17" i="10"/>
  <c r="E14" i="10"/>
  <c r="E13" i="10"/>
  <c r="E25" i="10"/>
  <c r="E18" i="10"/>
  <c r="E21" i="10"/>
  <c r="E19" i="10"/>
  <c r="E8" i="10"/>
  <c r="E24" i="10"/>
  <c r="E22" i="10"/>
  <c r="E7" i="10"/>
  <c r="E23" i="10"/>
  <c r="E12" i="10"/>
  <c r="E28" i="10"/>
  <c r="E26" i="10"/>
  <c r="E27" i="10"/>
  <c r="E9" i="10"/>
  <c r="E15" i="10"/>
  <c r="H7" i="10"/>
  <c r="AJ44" i="1"/>
  <c r="AI45" i="1"/>
  <c r="AI47" i="1" s="1"/>
  <c r="AI50" i="1"/>
  <c r="AI34" i="1"/>
  <c r="AM43" i="1"/>
  <c r="F41" i="1"/>
  <c r="J41" i="1" s="1"/>
  <c r="F50" i="1"/>
  <c r="J45" i="1"/>
  <c r="AJ32" i="1"/>
  <c r="AH49" i="1"/>
  <c r="F36" i="1"/>
  <c r="J36" i="1" s="1"/>
  <c r="C65" i="1"/>
  <c r="C79" i="1"/>
  <c r="C76" i="1"/>
  <c r="C71" i="1"/>
  <c r="C114" i="1"/>
  <c r="C74" i="1"/>
  <c r="C77" i="1"/>
  <c r="C70" i="1"/>
  <c r="C75" i="1"/>
  <c r="C68" i="1"/>
  <c r="C108" i="1"/>
  <c r="C73" i="1"/>
  <c r="C110" i="1"/>
  <c r="C67" i="1"/>
  <c r="C69" i="1"/>
  <c r="C117" i="1"/>
  <c r="C111" i="1"/>
  <c r="C64" i="1"/>
  <c r="C109" i="1"/>
  <c r="C112" i="1"/>
  <c r="C119" i="1"/>
  <c r="C66" i="1"/>
  <c r="C116" i="1"/>
  <c r="C113" i="1"/>
  <c r="C118" i="1"/>
  <c r="C78" i="1"/>
  <c r="C115" i="1"/>
  <c r="C72" i="1"/>
  <c r="J68" i="1" l="1"/>
  <c r="J109" i="1"/>
  <c r="J72" i="1"/>
  <c r="J75" i="1"/>
  <c r="J117" i="1"/>
  <c r="J64" i="1"/>
  <c r="J154" i="1"/>
  <c r="J74" i="1"/>
  <c r="J67" i="1"/>
  <c r="J119" i="1"/>
  <c r="J116" i="1"/>
  <c r="J108" i="1"/>
  <c r="J112" i="1"/>
  <c r="J118" i="1"/>
  <c r="J69" i="1"/>
  <c r="J111" i="1"/>
  <c r="J113" i="1"/>
  <c r="J76" i="1"/>
  <c r="J115" i="1"/>
  <c r="J66" i="1"/>
  <c r="J79" i="1"/>
  <c r="J70" i="1"/>
  <c r="J114" i="1"/>
  <c r="J78" i="1"/>
  <c r="J77" i="1"/>
  <c r="J110" i="1"/>
  <c r="J65" i="1"/>
  <c r="J71" i="1"/>
  <c r="J73" i="1"/>
  <c r="I23" i="23" a="1"/>
  <c r="I23" i="23" s="1"/>
  <c r="J5" i="10"/>
  <c r="F23" i="23" s="1"/>
  <c r="E7" i="7"/>
  <c r="E12" i="7"/>
  <c r="J50" i="1"/>
  <c r="AJ45" i="1"/>
  <c r="AJ50" i="1"/>
  <c r="AL50" i="1" s="1"/>
  <c r="AL45" i="1"/>
  <c r="AJ34" i="1"/>
  <c r="AI49" i="1"/>
  <c r="F49" i="1"/>
  <c r="I7" i="7" l="1"/>
  <c r="AM45" i="1"/>
  <c r="AL52" i="1"/>
  <c r="F40" i="1"/>
  <c r="J40" i="1" s="1"/>
  <c r="J49" i="1"/>
  <c r="AB45" i="1"/>
  <c r="AJ47" i="1"/>
  <c r="E11" i="7" l="1"/>
  <c r="AJ49" i="1"/>
  <c r="AL47" i="1"/>
  <c r="AL49" i="1" s="1"/>
  <c r="F51" i="1"/>
  <c r="I11" i="7" l="1"/>
  <c r="I20" i="23" s="1" a="1"/>
  <c r="I20" i="23" s="1"/>
  <c r="F42" i="1"/>
  <c r="J42" i="1" s="1"/>
  <c r="J51" i="1"/>
  <c r="E13" i="7" l="1"/>
  <c r="F20" i="23" l="1"/>
  <c r="F36" i="23" s="1"/>
  <c r="F40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Hruška Martin</author>
  </authors>
  <commentList>
    <comment ref="I2" authorId="0" shapeId="0" xr:uid="{9F0D1919-F2AD-4015-8CA4-1CD927059D14}">
      <text>
        <r>
          <rPr>
            <b/>
            <sz val="9"/>
            <color indexed="81"/>
            <rFont val="Tahoma"/>
            <family val="2"/>
            <charset val="238"/>
          </rPr>
          <t>Hruška Martin:</t>
        </r>
        <r>
          <rPr>
            <sz val="9"/>
            <color indexed="81"/>
            <rFont val="Tahoma"/>
            <family val="2"/>
            <charset val="238"/>
          </rPr>
          <t xml:space="preserve">
zeleně vybarvené jsou zahrnuty do schématu malého subjektu, ostatní z Pilíře I. Se nulují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<sst xmlns="http://schemas.openxmlformats.org/spreadsheetml/2006/main" count="1585" uniqueCount="499">
  <si>
    <t>intervence</t>
  </si>
  <si>
    <t>titul</t>
  </si>
  <si>
    <t>celková dotace</t>
  </si>
  <si>
    <t>počet titulů celkem</t>
  </si>
  <si>
    <t>počet vyplněných titulů</t>
  </si>
  <si>
    <t>dotace za vybraný titul</t>
  </si>
  <si>
    <t>SAPS</t>
  </si>
  <si>
    <t>Redistributivní platba</t>
  </si>
  <si>
    <t>Ekoschémata</t>
  </si>
  <si>
    <r>
      <t xml:space="preserve">intervence s více tituly - </t>
    </r>
    <r>
      <rPr>
        <b/>
        <sz val="11"/>
        <color theme="1"/>
        <rFont val="Calibri"/>
        <family val="2"/>
        <charset val="238"/>
        <scheme val="minor"/>
      </rPr>
      <t>rozevírací seznam</t>
    </r>
    <r>
      <rPr>
        <sz val="11"/>
        <color theme="1"/>
        <rFont val="Calibri"/>
        <family val="2"/>
        <scheme val="minor"/>
      </rPr>
      <t xml:space="preserve"> na jednotlivé tituly</t>
    </r>
  </si>
  <si>
    <t>Mladý zemědělec</t>
  </si>
  <si>
    <t>VCS</t>
  </si>
  <si>
    <t>AEKO - zatravňování erozně ohrožené půdy</t>
  </si>
  <si>
    <t>intervence nemá vyplněné údaje o ploše všech titulů; respektive není nárok na její čerpání</t>
  </si>
  <si>
    <t>AEKO - meziplodiny</t>
  </si>
  <si>
    <t>AEKO - podpora biodiverzity na orné půdě</t>
  </si>
  <si>
    <t>AEKO - integrovaná produkce</t>
  </si>
  <si>
    <t>AEKO - jiné</t>
  </si>
  <si>
    <t>Natura 2000</t>
  </si>
  <si>
    <t>Dobré životní podmínky zvířat</t>
  </si>
  <si>
    <t>Lesy - zalesňování zemědělské půdy</t>
  </si>
  <si>
    <t>Lesy - envi-klima služby a ochrana lesů</t>
  </si>
  <si>
    <t>plocha</t>
  </si>
  <si>
    <t>sazba</t>
  </si>
  <si>
    <t>sazba skutečná</t>
  </si>
  <si>
    <t>list</t>
  </si>
  <si>
    <t>číslo listu</t>
  </si>
  <si>
    <t>Pilíř</t>
  </si>
  <si>
    <t>podpora titulu</t>
  </si>
  <si>
    <t>vše</t>
  </si>
  <si>
    <t>kurzEUR</t>
  </si>
  <si>
    <t>eurzlom</t>
  </si>
  <si>
    <t>hranice velikostního limitu ha</t>
  </si>
  <si>
    <t>Přímé platby</t>
  </si>
  <si>
    <t>Základní platba</t>
  </si>
  <si>
    <t>I.</t>
  </si>
  <si>
    <t>EKOSCHEMA</t>
  </si>
  <si>
    <t>spodlim</t>
  </si>
  <si>
    <t>horlim</t>
  </si>
  <si>
    <t>Mladí</t>
  </si>
  <si>
    <t>MLZ</t>
  </si>
  <si>
    <t>Šetrny management na orné půdě ®</t>
  </si>
  <si>
    <t>Šetrný management na orné půdě</t>
  </si>
  <si>
    <t>koef</t>
  </si>
  <si>
    <t>oprávěná výměra pro redistribuci</t>
  </si>
  <si>
    <t>Couplované</t>
  </si>
  <si>
    <t>kapac</t>
  </si>
  <si>
    <t>RP</t>
  </si>
  <si>
    <t>Šetrny management na úhoru (Ú)</t>
  </si>
  <si>
    <t>Šetrný management na úhoru (Ú)</t>
  </si>
  <si>
    <t>ANC - ŽV</t>
  </si>
  <si>
    <t>ANC</t>
  </si>
  <si>
    <t>Šetrny management v sadech (S)</t>
  </si>
  <si>
    <t>Šetrný management v sadech (S)</t>
  </si>
  <si>
    <t>stropovatelné</t>
  </si>
  <si>
    <t>součin.skalární</t>
  </si>
  <si>
    <t>ANC - RV</t>
  </si>
  <si>
    <t>Šetrny management na vinicích (V)</t>
  </si>
  <si>
    <t>Šetrný management na vinicích (V)</t>
  </si>
  <si>
    <t>AEKO_ZATR</t>
  </si>
  <si>
    <t>Šetrny management na chmelnicích (C)</t>
  </si>
  <si>
    <t>Šetrný management na chmelnicích (C)</t>
  </si>
  <si>
    <t>AEKO - Meziplodiny</t>
  </si>
  <si>
    <t>AEKO_MEZIP</t>
  </si>
  <si>
    <t>Šetrny management na Jiné kultuře (J)</t>
  </si>
  <si>
    <t>vytáhnout k rozcestníku?</t>
  </si>
  <si>
    <t>AEKO_OTP</t>
  </si>
  <si>
    <t>Zadání počtu AWU</t>
  </si>
  <si>
    <t>AEKO - Krajinotvorné sady</t>
  </si>
  <si>
    <t>AEKO_JINE</t>
  </si>
  <si>
    <t>koef.AWU (annual work unit)</t>
  </si>
  <si>
    <t>AEKO - Podpora biodiverzity na orné půdě</t>
  </si>
  <si>
    <t>AEKO_BIODIV</t>
  </si>
  <si>
    <t>bílkovinné plodiny</t>
  </si>
  <si>
    <t>roční odpočet za AWU</t>
  </si>
  <si>
    <t>odpočet za WU</t>
  </si>
  <si>
    <t>AEKO - Integrovaná produkce</t>
  </si>
  <si>
    <t>AEKO_IP</t>
  </si>
  <si>
    <t>cukrovka</t>
  </si>
  <si>
    <t>nestropovatelné</t>
  </si>
  <si>
    <t>AEKO - Osevní postupy</t>
  </si>
  <si>
    <t>EZ_ZAKL</t>
  </si>
  <si>
    <t>konzumní brambory</t>
  </si>
  <si>
    <t>AEKO - Platba na výsledek</t>
  </si>
  <si>
    <t>škrobové brambory</t>
  </si>
  <si>
    <t>AEKO - Hospodaření v OPVZ</t>
  </si>
  <si>
    <t>ovoce VP</t>
  </si>
  <si>
    <t xml:space="preserve"> 0  +  1</t>
  </si>
  <si>
    <t>EZ - základní</t>
  </si>
  <si>
    <t>ovoce VVP</t>
  </si>
  <si>
    <t>EZ - podpora biodiverzity</t>
  </si>
  <si>
    <t>zelenina VP</t>
  </si>
  <si>
    <t>suma vše</t>
  </si>
  <si>
    <t>ZV</t>
  </si>
  <si>
    <t>NATURA 2000</t>
  </si>
  <si>
    <t>NAT_2000</t>
  </si>
  <si>
    <t>zelenina VVP</t>
  </si>
  <si>
    <t>DZPZ</t>
  </si>
  <si>
    <t>chmel</t>
  </si>
  <si>
    <t>Snižování používání antimikrobik</t>
  </si>
  <si>
    <t>ANTIM</t>
  </si>
  <si>
    <t>masná telata</t>
  </si>
  <si>
    <t>LESY - zalesňování zemědělské půdy</t>
  </si>
  <si>
    <t>LES_ZALES</t>
  </si>
  <si>
    <t>dojnice</t>
  </si>
  <si>
    <t>H1</t>
  </si>
  <si>
    <t>LESY - agrolesnictví</t>
  </si>
  <si>
    <t>LES_AGROLES</t>
  </si>
  <si>
    <t>pasené ovce a kozy</t>
  </si>
  <si>
    <t>H2</t>
  </si>
  <si>
    <t>LESY - envi-klima služby a ochrana lesů</t>
  </si>
  <si>
    <t>LES_ENVILES</t>
  </si>
  <si>
    <t>trávy na semeno</t>
  </si>
  <si>
    <t>H4</t>
  </si>
  <si>
    <t>AEKOX - Integrovaná produkce</t>
  </si>
  <si>
    <t>konopí</t>
  </si>
  <si>
    <t>H3</t>
  </si>
  <si>
    <t>AEKOX -  ošetřování travníchp orostů</t>
  </si>
  <si>
    <t>len</t>
  </si>
  <si>
    <t>H5</t>
  </si>
  <si>
    <t>AEKOX - zatravňování</t>
  </si>
  <si>
    <t>Redistribuční platba 1</t>
  </si>
  <si>
    <t>Pásmo 1</t>
  </si>
  <si>
    <t>O1</t>
  </si>
  <si>
    <t>AEKOX - dráhy soustředěného odtoku</t>
  </si>
  <si>
    <t>Redistribuční platba 2</t>
  </si>
  <si>
    <t>Pásmo 2</t>
  </si>
  <si>
    <t>funkcionalita nepřímého odkazu</t>
  </si>
  <si>
    <t>O2</t>
  </si>
  <si>
    <t>AEKOX - biodiverzita</t>
  </si>
  <si>
    <t>Redistribuční platba 3</t>
  </si>
  <si>
    <t>Pásmo 3</t>
  </si>
  <si>
    <t>O3</t>
  </si>
  <si>
    <t xml:space="preserve">AEKOX - Hnízdiště čejky </t>
  </si>
  <si>
    <t>H1_ZV</t>
  </si>
  <si>
    <t>II.</t>
  </si>
  <si>
    <t>H1 - živočišná výroba</t>
  </si>
  <si>
    <t>S</t>
  </si>
  <si>
    <t>EZX</t>
  </si>
  <si>
    <t>H2_ZV</t>
  </si>
  <si>
    <t>H2 - živočišná výroba</t>
  </si>
  <si>
    <t>LESYX - zalesňování</t>
  </si>
  <si>
    <t>H3_ZV</t>
  </si>
  <si>
    <t>H3 - živočišná výroba</t>
  </si>
  <si>
    <t>LESYX - agrolesnictví</t>
  </si>
  <si>
    <t>H4_ZV</t>
  </si>
  <si>
    <t>H4 - živočišná výroba</t>
  </si>
  <si>
    <t>H5_ZV</t>
  </si>
  <si>
    <t>H5 - živočišná výroba</t>
  </si>
  <si>
    <t>vzorec:</t>
  </si>
  <si>
    <t>O1_ZV</t>
  </si>
  <si>
    <t>O1 - živočišná výroba</t>
  </si>
  <si>
    <t>O2_ZV</t>
  </si>
  <si>
    <t>O2 - živočišná výroba</t>
  </si>
  <si>
    <t>B5</t>
  </si>
  <si>
    <t>O3_ZV</t>
  </si>
  <si>
    <t>O3 - živočišná výroba</t>
  </si>
  <si>
    <t>S_ZV</t>
  </si>
  <si>
    <t>S - živočišná výroba</t>
  </si>
  <si>
    <t>H1_RV</t>
  </si>
  <si>
    <t>H1 - rostlinná výroba</t>
  </si>
  <si>
    <t>H2_RV</t>
  </si>
  <si>
    <t>H2 - rostlinná výroba</t>
  </si>
  <si>
    <t>H3_RV</t>
  </si>
  <si>
    <t>H3 - rostlinná výroba</t>
  </si>
  <si>
    <t>H4_RV</t>
  </si>
  <si>
    <t>H4 - rostlinná výroba</t>
  </si>
  <si>
    <t>H5_RV</t>
  </si>
  <si>
    <t>H5 - rostlinná výroba</t>
  </si>
  <si>
    <t>O1_RV</t>
  </si>
  <si>
    <t>O1 - rostlinná výroba</t>
  </si>
  <si>
    <t>O2_RV</t>
  </si>
  <si>
    <t>O2 - rostlinná výroba</t>
  </si>
  <si>
    <t>skutečně by dostal</t>
  </si>
  <si>
    <t>O3_RV</t>
  </si>
  <si>
    <t>O3 - rostlinná výroba</t>
  </si>
  <si>
    <t>S_RV</t>
  </si>
  <si>
    <t>S - rostlinná výroba</t>
  </si>
  <si>
    <t>koef krácení</t>
  </si>
  <si>
    <t>zatrav běžnou směsí</t>
  </si>
  <si>
    <t>Zatravňování běžnou směsí</t>
  </si>
  <si>
    <t>před krácením</t>
  </si>
  <si>
    <t>zatrav druhově bohatou směsí</t>
  </si>
  <si>
    <t>Zatravňování druhově bohatou směsí</t>
  </si>
  <si>
    <t>zatrav regionální směsí 1 rok</t>
  </si>
  <si>
    <t>Zatravňování regionální směsí 1 rok</t>
  </si>
  <si>
    <t>kontrola</t>
  </si>
  <si>
    <t>zatrav regionální směsí n let</t>
  </si>
  <si>
    <t>Zatravňování regionální směsí n let</t>
  </si>
  <si>
    <t>podél vodních toků běžnou směsí</t>
  </si>
  <si>
    <t>podél vodních toků druhově bohatou směsí</t>
  </si>
  <si>
    <t>podél vodních toků regionální směsí 1 rok</t>
  </si>
  <si>
    <t>podél vodních toků regionální směsí n let</t>
  </si>
  <si>
    <t>Dráhy soustředěného odtoku</t>
  </si>
  <si>
    <t>Meziplodiny proti utužení orné půdy</t>
  </si>
  <si>
    <t xml:space="preserve">Mezofilní a vlhkomilné louky hnojené </t>
  </si>
  <si>
    <t>Mezofilní a vlhkomilné louky hnojené</t>
  </si>
  <si>
    <t>Mezofilní a vlhkomilné louky hnojené nekos</t>
  </si>
  <si>
    <t>Mezofilní a vlhkomilné louky hnojené, nekosené</t>
  </si>
  <si>
    <t xml:space="preserve">Horské a suchomilné louky hnojené </t>
  </si>
  <si>
    <t>Horské a suchomilné louky hnojené</t>
  </si>
  <si>
    <t>Horské a suchomilné louky hnojené nekos</t>
  </si>
  <si>
    <t>Horské a suchomilné louky hnojené, nekosené</t>
  </si>
  <si>
    <t xml:space="preserve">Horské a suchomilné louky nehnojené </t>
  </si>
  <si>
    <t>Horské a suchomilné louky nehnojené</t>
  </si>
  <si>
    <t>Horské a suchomilné louky nehnojené nekos</t>
  </si>
  <si>
    <t>Horské a suchomilné louky nehnojené, nekosené</t>
  </si>
  <si>
    <t xml:space="preserve">Trvale podmáčené a rašelinné louky </t>
  </si>
  <si>
    <t>Trvale podmáčené a rašelinné louky</t>
  </si>
  <si>
    <t xml:space="preserve">Ochrana chřástala polního </t>
  </si>
  <si>
    <t>Ochrana chřástala polního</t>
  </si>
  <si>
    <t>Suché stepní trávníky a vřesoviště</t>
  </si>
  <si>
    <t xml:space="preserve">Druhově bohaté pastviny </t>
  </si>
  <si>
    <t>Druhově bohaté pastviny</t>
  </si>
  <si>
    <t>Krajinotvorné sady</t>
  </si>
  <si>
    <t>Nektarodárné biopásy</t>
  </si>
  <si>
    <t>Krmné biopásy</t>
  </si>
  <si>
    <t>Kombinované biopásy</t>
  </si>
  <si>
    <t>Ochrana čejky chocholaté</t>
  </si>
  <si>
    <t>Základní ochrana vinic</t>
  </si>
  <si>
    <t>Nadstavbová ochrana vinic</t>
  </si>
  <si>
    <t>IP zeleniny,jahodníku a brambor</t>
  </si>
  <si>
    <t>Integrovaná produkce zeleniny, jahodníku a brambor</t>
  </si>
  <si>
    <t>IP ovoce</t>
  </si>
  <si>
    <t>Integrovaná produkce ovoce</t>
  </si>
  <si>
    <t>Osevní postupy</t>
  </si>
  <si>
    <t>Platba na výsledek</t>
  </si>
  <si>
    <t>Hospodaření v OPVZ</t>
  </si>
  <si>
    <t>Trvalé travní porosty v EZ</t>
  </si>
  <si>
    <t>Trvalé travní porosty v EZ konverze</t>
  </si>
  <si>
    <t>Trvalé travní porosty v EZ - konverze</t>
  </si>
  <si>
    <t>R - ostatní plodiny</t>
  </si>
  <si>
    <t>R - ostatní plodiny konverze</t>
  </si>
  <si>
    <t>R - ostatní plodiny - konverze</t>
  </si>
  <si>
    <t>Sady intenzivní</t>
  </si>
  <si>
    <t>Sady intenzivní konverze</t>
  </si>
  <si>
    <t>Sady intenzivní - konverze</t>
  </si>
  <si>
    <t>Sady ostatní</t>
  </si>
  <si>
    <t>Sady ostatní kovnverze</t>
  </si>
  <si>
    <t>Sady ostatní - kovnverze</t>
  </si>
  <si>
    <t>Vinice a chmelnice</t>
  </si>
  <si>
    <t>Vinice a chmelnice konverze</t>
  </si>
  <si>
    <t>Vinice a chmelnice - konverze</t>
  </si>
  <si>
    <t>Mezofilní a vlhkomilné louky nehnojené</t>
  </si>
  <si>
    <t>Trvalé podmáčené a rašelinné louky</t>
  </si>
  <si>
    <t>Ochrana chřástala</t>
  </si>
  <si>
    <t>Životní podmínky prasniček</t>
  </si>
  <si>
    <t>Životní podmínky prasnic</t>
  </si>
  <si>
    <t>Plocha pro odstavená selata</t>
  </si>
  <si>
    <t>Obohacení krmné směsi nosnic</t>
  </si>
  <si>
    <t>Životní prostředí nosnic a výkrmových kuřat</t>
  </si>
  <si>
    <t>Stájové prostředí dojeného skotu</t>
  </si>
  <si>
    <t>Výběh pro suchostojné krávy</t>
  </si>
  <si>
    <t>Životní podmínky telat dojeného skotu</t>
  </si>
  <si>
    <t>Selekční boxy pro prasata</t>
  </si>
  <si>
    <t>Vakcinace prasnic</t>
  </si>
  <si>
    <t>Vakcinace prasniček</t>
  </si>
  <si>
    <t>vakcinace odstavených selat v předvýkrmu</t>
  </si>
  <si>
    <t>Vakcinace odstavených selat v předvýkrmu</t>
  </si>
  <si>
    <t>vakcinace selat ve výkrmu</t>
  </si>
  <si>
    <t>Vakcinace selat ve výkrmu</t>
  </si>
  <si>
    <t>Zajištění příjmu mleziva pro selata</t>
  </si>
  <si>
    <t>Obranyschopnost kura - rodičovské chovy</t>
  </si>
  <si>
    <t>Obranyschopnost - chovy výkrmu kuřat</t>
  </si>
  <si>
    <t>Obranyschopnost - chovy nosnic</t>
  </si>
  <si>
    <t>Napájení telat dojeného skotu mlezivem</t>
  </si>
  <si>
    <t>Péče o založený lesní porost</t>
  </si>
  <si>
    <t>Náhrada za ukončení zeměď výroby</t>
  </si>
  <si>
    <t>Náhrada za ukončení zemědělské výroby</t>
  </si>
  <si>
    <t>Zachování porostního typu</t>
  </si>
  <si>
    <t>Zachování habitatových stromů</t>
  </si>
  <si>
    <t>......navíc</t>
  </si>
  <si>
    <t>Integrovaná produkce zeleniny na R</t>
  </si>
  <si>
    <t>Integrovaná produkce zeleniny na J</t>
  </si>
  <si>
    <t>Integrovaná produkce jahodníku</t>
  </si>
  <si>
    <t>Obecná péče o ext. louky a pastviny</t>
  </si>
  <si>
    <t>Obecná péče o ext. louky a pastviny nekos</t>
  </si>
  <si>
    <t>Mezofilní a vlhkomilné louky HN</t>
  </si>
  <si>
    <t>Mezofilní a vlhkomilné louky HN nekos</t>
  </si>
  <si>
    <t>Mezofilní a vlhkomilné louky HN s EZ</t>
  </si>
  <si>
    <t>Mezofilní a vlhkomilné louky HN na ZCHÚx</t>
  </si>
  <si>
    <t>Mezofilní a vlhkomilné louky NN</t>
  </si>
  <si>
    <t>Mezofilní a vlhkomilné louky NN nekos</t>
  </si>
  <si>
    <t>Mezofilní a vlhkomilné louky NN s EZ</t>
  </si>
  <si>
    <t>Horské a suchomilné louky HN</t>
  </si>
  <si>
    <t>Horské a suchomilné louky HN nekos</t>
  </si>
  <si>
    <t>Horské a suchomilné louky HN s EZ</t>
  </si>
  <si>
    <t>Horské a suchomilné louky NN</t>
  </si>
  <si>
    <t>Horské a suchomilné louky NN nekos</t>
  </si>
  <si>
    <t>Horské a suchomilné louky NN s EZ</t>
  </si>
  <si>
    <t>Horské a suchomilné louky NN na ZCHÚx</t>
  </si>
  <si>
    <t>Trvale podm. a rašelinné louky s EZ</t>
  </si>
  <si>
    <t>TP s výskytem modrásků</t>
  </si>
  <si>
    <t>TP s výskytem modrásků s EZ</t>
  </si>
  <si>
    <t>TP s výskytem modrásků na ZCHÚ</t>
  </si>
  <si>
    <t>Hnízdiště chřástala polního</t>
  </si>
  <si>
    <t>Hnízdiště chřástala polního s EZ</t>
  </si>
  <si>
    <t>Hnízdiště chřástala polního na ZCHÚ</t>
  </si>
  <si>
    <t>Druhově bohaté pastviny s EZ</t>
  </si>
  <si>
    <t>Druhově bohaté pastviny na ZCHÚ</t>
  </si>
  <si>
    <t>zatrav regionální směsí</t>
  </si>
  <si>
    <t>zatrav běžnou směsí na ZCHÚ</t>
  </si>
  <si>
    <t>zatrav druhově bohatou směsí na ZCHÚ</t>
  </si>
  <si>
    <t>zatrav regionální směsí na ZCHÚ</t>
  </si>
  <si>
    <t>podél vodního útvaru B směsí</t>
  </si>
  <si>
    <t>podél vodního útvaru DB směsí</t>
  </si>
  <si>
    <t>podél vodního útvaru R směsí</t>
  </si>
  <si>
    <t>podél vodního útvaru B směsí na ZCHÚ</t>
  </si>
  <si>
    <t>podél vodního útvaru DB směsí na ZCHÚ</t>
  </si>
  <si>
    <t>podél vodního útvaru R směsí na ZCHÚ</t>
  </si>
  <si>
    <t>dráha soustředěného odtoku</t>
  </si>
  <si>
    <t>dráha soustředěného odtoku ZCHÚ</t>
  </si>
  <si>
    <t>Krmné biopásy AEKOx</t>
  </si>
  <si>
    <t>Nektarodárné biopásy AEKOx</t>
  </si>
  <si>
    <t>Trvalé travní porosty v EZx</t>
  </si>
  <si>
    <t>Trvalé travní porosty konverze EZx</t>
  </si>
  <si>
    <t xml:space="preserve">Trvalé travní porosty v EZ na ZCHÚ </t>
  </si>
  <si>
    <t>Trvalé travní porosty konverze na ZCHÚ</t>
  </si>
  <si>
    <t>Pěstování ost. plodin</t>
  </si>
  <si>
    <t>Pěstování ost. pl. - konv.</t>
  </si>
  <si>
    <t>Trávy na semeno</t>
  </si>
  <si>
    <t>Trávy na semeno - konv.</t>
  </si>
  <si>
    <t>Trávy na orné půdě</t>
  </si>
  <si>
    <t>Trávy na orné půdě konv.</t>
  </si>
  <si>
    <t>Odplev. úhorem</t>
  </si>
  <si>
    <t>Odplev. úhorem konv.</t>
  </si>
  <si>
    <t>Pěstování jahodníku</t>
  </si>
  <si>
    <t>Pěstování jahodníku konv.</t>
  </si>
  <si>
    <t>Sady (intenzivní)</t>
  </si>
  <si>
    <t>Sady (intenzivní) konv.</t>
  </si>
  <si>
    <t>Sady ostatní EZx</t>
  </si>
  <si>
    <t>Sady ostatní konv. EZx</t>
  </si>
  <si>
    <t xml:space="preserve">Sady krajinotvorné </t>
  </si>
  <si>
    <t>Sady krajinotvorné konv.</t>
  </si>
  <si>
    <t>Vinice, chmelnice</t>
  </si>
  <si>
    <t>Vinice, chmelnice konv.</t>
  </si>
  <si>
    <t xml:space="preserve">Zelenina a sp.byliny </t>
  </si>
  <si>
    <t>Zelenina a sp.byliny - konv.</t>
  </si>
  <si>
    <t>Péče o založený lesní porost LESx</t>
  </si>
  <si>
    <t>Ukončení zemědělské výroby LESx</t>
  </si>
  <si>
    <t>07-13 ukončení zemědělské výroby</t>
  </si>
  <si>
    <t>04-06 ukončení zemědělské výroby</t>
  </si>
  <si>
    <t>Zachování porostního typu lesa</t>
  </si>
  <si>
    <t>Ochrana genofondu lesních dřevin</t>
  </si>
  <si>
    <t>Lesnicko-environmentální služby</t>
  </si>
  <si>
    <t>← Zpět na úvodní stranu</t>
  </si>
  <si>
    <t>plocha (ha)</t>
  </si>
  <si>
    <t>dotace</t>
  </si>
  <si>
    <t>Mladí zemědělci</t>
  </si>
  <si>
    <t>počet jednotek</t>
  </si>
  <si>
    <t>faremní systém - vyberte</t>
  </si>
  <si>
    <t>rostlinná výroba</t>
  </si>
  <si>
    <t>živočišná výroba</t>
  </si>
  <si>
    <t>RV</t>
  </si>
  <si>
    <t>meziplodiny proti utužení orné půdy</t>
  </si>
  <si>
    <t>NATURA 2001</t>
  </si>
  <si>
    <t>Precizní zemědělství</t>
  </si>
  <si>
    <t>Šetrný management na RRD (D)</t>
  </si>
  <si>
    <t>Šetrny management na RRD (D)</t>
  </si>
  <si>
    <t>Šetrný management na jiné kultuře (J)</t>
  </si>
  <si>
    <t>Šetrny management na travách na orné půdě (G)</t>
  </si>
  <si>
    <t>Šetrný management na travách na orné půdě (G)</t>
  </si>
  <si>
    <t>Šetrny management na travních porostech (T)</t>
  </si>
  <si>
    <t>Šetrný management na travních porostech (T)</t>
  </si>
  <si>
    <t>Základní titul OTP</t>
  </si>
  <si>
    <t>OTP management - nepokosené plochy</t>
  </si>
  <si>
    <t>Druhově bohaté pokrytí o.p.</t>
  </si>
  <si>
    <t>Druhově bohaté pokrytí orné půdy</t>
  </si>
  <si>
    <t>IPV - doplňková platba</t>
  </si>
  <si>
    <t>Integrovaná produkce vína - doplňková platba</t>
  </si>
  <si>
    <t>Malý subjekt</t>
  </si>
  <si>
    <t>sazba Kč</t>
  </si>
  <si>
    <t>sazba EUR</t>
  </si>
  <si>
    <t>Malý subjekt - zadejte</t>
  </si>
  <si>
    <t>MS</t>
  </si>
  <si>
    <t>Šetrny management ve školkách (K)</t>
  </si>
  <si>
    <t xml:space="preserve">Mezofilní a vlhkomilné louky nehnojené </t>
  </si>
  <si>
    <t>Šetrný management ve školkách (K)</t>
  </si>
  <si>
    <t>Mezofilní a vlhkomilné louky nehnojené nekos</t>
  </si>
  <si>
    <t>Mezofilní a vlhkomilné louky nehnojené, nekosené</t>
  </si>
  <si>
    <t>ne</t>
  </si>
  <si>
    <t>Celkem</t>
  </si>
  <si>
    <t>ne všechny tituly v rámci intervence mají vyplněné oprávněné jednotky</t>
  </si>
  <si>
    <t>kontrolní součet výměry</t>
  </si>
  <si>
    <t>Infiltrační oblasti</t>
  </si>
  <si>
    <t>Meziplodiny pro zlepšení struktury půdy</t>
  </si>
  <si>
    <t>Pěstování trav a víceletých pícnin na orné půdě</t>
  </si>
  <si>
    <t>Pěstování trav a víceletých pícnin na orné půdě - konverze</t>
  </si>
  <si>
    <t>Pěstování zeleniny, speciálních bylin, brambor a jahodníku</t>
  </si>
  <si>
    <t>Pěstování zeleniny, speciálních bylin, brambor a jahodníku - konverze</t>
  </si>
  <si>
    <t>Oblasti se zákazem hnojit (I. zóny CHKO)</t>
  </si>
  <si>
    <t>Oblasti se zákazem hnojení průmyslovými hnojivy (NP)</t>
  </si>
  <si>
    <t>Péče o založený porost</t>
  </si>
  <si>
    <t>Podpora šetrného sběru a reprodukčního materiálu</t>
  </si>
  <si>
    <t>Založení lesního porostu - jedle, borovice, buk, dub, lípa, douglaska</t>
  </si>
  <si>
    <t>Založení lesního porostu - ostatní dřeviny</t>
  </si>
  <si>
    <t>Náhrada za ukončení zemědělské výroby - orná půda, chmelnice, vinice, ovocný sad, školka</t>
  </si>
  <si>
    <t>Náhrada za ukončení zemědělské výroby - trvalý travní porost nebo jiná trvalá travní kultura</t>
  </si>
  <si>
    <t>I. Pilíř</t>
  </si>
  <si>
    <t>II. Pilíř</t>
  </si>
  <si>
    <t>Vyberte měnu</t>
  </si>
  <si>
    <t>měna</t>
  </si>
  <si>
    <t>sazba degresivní</t>
  </si>
  <si>
    <t>Vložte kurz Kč/EUR</t>
  </si>
  <si>
    <t>EUR</t>
  </si>
  <si>
    <t>AEKO - Ošetřování extenzivních travních porostů - KZ</t>
  </si>
  <si>
    <t>AEKO - Ošetřování extenzivních travních porostů - EZ</t>
  </si>
  <si>
    <t>Zatravňování podél vodních toků běžnou směsí</t>
  </si>
  <si>
    <t>Zatravňování podél vodních toků druhově bohatou směsí</t>
  </si>
  <si>
    <t>Zatravňování podél vodních toků regionální směsí 1 rok</t>
  </si>
  <si>
    <t>Zatravňování podél vodních toků regionální směsí n let</t>
  </si>
  <si>
    <t>Bližší popis titulů</t>
  </si>
  <si>
    <t>Ochrana modrásků</t>
  </si>
  <si>
    <t>počet jednotek VDJ</t>
  </si>
  <si>
    <t>zemědělská půda evidovaná v LPIS, která se nachází v ANC horská</t>
  </si>
  <si>
    <t>zemědělská půda evidovaná v LPIS, která se nachází v ANC ostatní</t>
  </si>
  <si>
    <t>zemědělská půda evidovaná v LPIS, která se nachází v ANC specifická</t>
  </si>
  <si>
    <t>standardní orná půda evidovaná v LPIS, vymezená jako vhodná pro zatravnění</t>
  </si>
  <si>
    <t>standardní orná půda evidovaná v LPIS, vymezená jako vhodná pro zatravnění, v oblastech ZCHÚ, NP a Natura 2000</t>
  </si>
  <si>
    <t>první rok založení - standardní orná půda evidovaná v LPIS, vymezená jako vhodná pro zatravnění, v oblastech ZCHÚ, NP a Natura 2000</t>
  </si>
  <si>
    <t>od druhého roku - standardní orná půda evidovaná v LPIS, vymezená jako vhodná pro zatravnění, v oblastech ZCHÚ, NP a Natura 2000</t>
  </si>
  <si>
    <t>standardní orná půda evidovaná v LPIS, vymezená jako vhodná pro zatravnění, nacházející se do 25 m od vodního toku nebo v OPVZ</t>
  </si>
  <si>
    <t>standardní orná půda evidovaná v LPIS, vymezená jako vhodná pro zatravnění, nacházející se do 25 m od vodního toku nebo v OPVZ,v oblastech ZCHÚ, NP a Natura 2000</t>
  </si>
  <si>
    <t>první rok založení - standardní orná půda evidovaná v LPIS, vymezená jako vhodná pro zatravnění, nacházející se do 25 m od vodního toku nebo v OPVZ,v oblastech ZCHÚ, NP a Natura 2000</t>
  </si>
  <si>
    <t>od druhého roku - standardní orná půda evidovaná v LPIS, vymezená jako vhodná pro zatravnění, nacházející se do 25 m od vodního toku nebo v OPVZ,v oblastech ZCHÚ, NP a Natura 2000</t>
  </si>
  <si>
    <t>standardní orná půda evidovaná v LPIS, vymezená jako vhodná pro zatravnění v infiltračních oblastech</t>
  </si>
  <si>
    <t>standardní orná půda evidovaná v LPIS, vymezená jako vhodná pro zatravnění, kde se nachází dráha soustředěného odtoku</t>
  </si>
  <si>
    <t>standardní orná půda evidovaná v LPIS, vymezené půdy jako utužené</t>
  </si>
  <si>
    <t>standardní orná půda evidovaná v LPIS</t>
  </si>
  <si>
    <t>trvalý travní porost evidovaný v LPIS</t>
  </si>
  <si>
    <t>na DPB trvalého travního porostu nad 10 ha povinné, pod 10 ha dobrovolné</t>
  </si>
  <si>
    <t>trvalý travní porost evidovaný v LPIS - vymezený jako Mezofilní a vlhkomilné louky</t>
  </si>
  <si>
    <t>trvalý travní porost evidovaný v LPIS - vymezený jako Horské a suchomilné louky</t>
  </si>
  <si>
    <t>trvalý travní porost evidovaný v LPIS - vymezený jako Trvale podmáčené a rašelinné louky</t>
  </si>
  <si>
    <t>trvalý travní porost evidovaný v LPIS - vymezený jako Ochrana chřástala polního</t>
  </si>
  <si>
    <t>trvalý travní porost evidovaný v LPIS - vymezený jako Ochrana modrásků</t>
  </si>
  <si>
    <t>trvalý travní porost evidovaný v LPIS - vymezený jako Suché stepní trávníky a vřesoviště</t>
  </si>
  <si>
    <t>trvalý travní porost evidovaný v LPIS - vymezený jako Druhově bohaté pastviny</t>
  </si>
  <si>
    <t>trvalý travní porost evidovaný v LPIS - vymezený jako Platba na výsledek - pouze v CHKO Železné hory</t>
  </si>
  <si>
    <t>standardní orná půda evidovaná v LPIS - vymezená jako hnízdiště čejky</t>
  </si>
  <si>
    <t>kultura vinice evidovaná v LPIS</t>
  </si>
  <si>
    <t>standardní orná půda, jiná trvalá kultura evidovaná v LPIS</t>
  </si>
  <si>
    <t>kultura sad evidovaná v LPIS a v registru sadů</t>
  </si>
  <si>
    <t>jiná trvalá kultura evidovaná v LPIS - krajinotvorný sad</t>
  </si>
  <si>
    <t>standardní orná půda evidovaná v LPIS, v OPVZ (Švihov, Římov, Vrchlice, Opatovice)</t>
  </si>
  <si>
    <t>kultura vinice nebo chmelnice evidovaná v LPIS</t>
  </si>
  <si>
    <t>zemědělská půda evidovaná v LPIS s kulturou trvalý travní porost</t>
  </si>
  <si>
    <t xml:space="preserve">zemědělská půda evidovaná v LPIS s kulturou trvalý travní porost </t>
  </si>
  <si>
    <t>VDJ prasničky</t>
  </si>
  <si>
    <t>VDJ prasnic</t>
  </si>
  <si>
    <t>VDJ selat</t>
  </si>
  <si>
    <t>VDJ dojnic a telat do 2 měsíců věku</t>
  </si>
  <si>
    <t>VDJ dojnic</t>
  </si>
  <si>
    <t>VDJ dojnic - suchostojné krávy</t>
  </si>
  <si>
    <t>VDJ prasniček</t>
  </si>
  <si>
    <t>VDJ selat v předvýkrmu</t>
  </si>
  <si>
    <t xml:space="preserve">VDJ selat </t>
  </si>
  <si>
    <t>vymezená zemědělská půda evidovaná v LPIS, jako vhodná k zalesnění</t>
  </si>
  <si>
    <t>zalesněná zemědělská půda evidovaná v LPIS</t>
  </si>
  <si>
    <t>zemědělská půda evidovaná v LPIS</t>
  </si>
  <si>
    <t>zemědělská půda evidovaná v LPIS se založeným agrolesnickým systémem</t>
  </si>
  <si>
    <t>PUPFL - PSK, která se nachází v uznaném zdroji selektovaného reprodukčního materiálu</t>
  </si>
  <si>
    <t>PUPFL - PSK na území Natura 2000 a ZCHÚ</t>
  </si>
  <si>
    <t>PUPFL - habitatové stromy (mimo území ZCHÚ)</t>
  </si>
  <si>
    <t>AEKO - ošetřování extenzivních travních porostů</t>
  </si>
  <si>
    <t>Ekologické zemědělství</t>
  </si>
  <si>
    <t>Agrolesnictví</t>
  </si>
  <si>
    <t>Založení agrolesnického systému</t>
  </si>
  <si>
    <t>Zvětšení lehacího prostoru v chovu dojnic</t>
  </si>
  <si>
    <t>&gt;=0,3 VDJ/ha</t>
  </si>
  <si>
    <t>&lt;0,3 VDJ/ha</t>
  </si>
  <si>
    <t>↓</t>
  </si>
  <si>
    <t>Podnikový model („kalkulačka“) pro předběžný výpočet vybraných provozních podpor vyplývajících z revize Strategického plánu pro SZP od roku 2023+</t>
  </si>
  <si>
    <t>Výpočetní model „SZP-CZ 2023+“ („KALKULAČKA“) zpracovaný v Ústavu zemědělské ekonomiky a informací ve spolupráci s Ministerstvem zemědělství umožní kalkulovat budoucí podpory plynoucí zemědělcům v rámci Společné zemědělské politiky na úrovni jednotlivých podniků od roku 2023.</t>
  </si>
  <si>
    <t>Výpočetní model v prostředí MS Excel je maximálně uživatelsky přívětivý, návodný v dílčích krocích a umožňuje využití všem zemědělcům se základní počítačovou znalostí.</t>
  </si>
  <si>
    <t>Uživatel vkládá oprávněné jednotky předmětného podniku – tedy výměry oprávněných ploch, počty dobytčích jednotek příp. některé doplňující informace a algoritmus modelu následně vypočítá s předem zadanými sazbami očekávatelné nároky na podpory ze dvou základních kategorií podpor: nárokové plošné podpory a agroenvironmentální a klimatické podpory. Další informace naleznete na příslušných listech.</t>
  </si>
  <si>
    <t>1. NÁROKOVÉ PLOŠNÉ PODPORY, jako suma následujících opatření:</t>
  </si>
  <si>
    <t> 1.1.     Základní platba na plochu</t>
  </si>
  <si>
    <t> 1.2.     Redistributivní platba</t>
  </si>
  <si>
    <t> 1.3.     Platba na ekoschémata</t>
  </si>
  <si>
    <t> 1.4.     Platba pro mladého zemědělce</t>
  </si>
  <si>
    <t> 1.5.     Platba na produkčně vázané podpory (VCS)</t>
  </si>
  <si>
    <t> 1.6.     Platba na ANC </t>
  </si>
  <si>
    <t> 1.7.     Platba pro malý subjekt (pokud je taková volba vybrána)</t>
  </si>
  <si>
    <t>2. AGRO-ENVIRONMENTÁLNÍ A KLIMATICKÉ PODPORY složené z:</t>
  </si>
  <si>
    <t> 2.1.     AEKO – zatravňování erozně ohrožené půdy</t>
  </si>
  <si>
    <t> 2.2.     AEKO – meziplodiny</t>
  </si>
  <si>
    <t> 2.3.     AEKO – ošetřování cenných travních porostů</t>
  </si>
  <si>
    <t> 2.4.     AEKO – podpora biodiverzity na orné půdě</t>
  </si>
  <si>
    <t> 2.5.     AEKO – integrovaná produkce</t>
  </si>
  <si>
    <t> 2.6.     AEKO – jiné</t>
  </si>
  <si>
    <t> 2.7.     Platby na ekologické zemědělství, Natura</t>
  </si>
  <si>
    <t> 2.8.     Platby za dobré životní podmínky zvířat</t>
  </si>
  <si>
    <t> 2.9.     Platby za lesnická opatření – zalesňování zem. půdy, agrolesnictví, agro-environmentální služby a ochrana lesů.</t>
  </si>
  <si>
    <t>Model vám tak umožňuje variantně nastavit strukturu podpor částečně z prvního pilíře (přímé platby) a současně dobrovolných programů ve 2. pilíři a optimalizovat tak příjem z ekosystémových služeb. Výpočetní algoritmus ovšem neobsahuje projektová opatření typu „Investice“, „Leader“, apod. Současně s tím zde nejsou obsaženy žádné podpory, které jsou financovány z národního nebo jiných rozpočtů v ČR. Tato skutečnost by neměla být opomenuta např. při srovnání podnikových podpor v jednotlivých období.</t>
  </si>
  <si>
    <t>V modelu definované sazby podpor jsou PŘEDBĚŽNÉ, které vycházejí z návrhu Strategického plánu v lednu 2022, který v průběhu tohoto roku bude připomínkován a případně upravován. Vypočtené částky zejména u dobrovolných programů (VCS, některé platby 2. pilíře) jsou tak předpokladem, který se může od budoucí obdržené částky lišit vzhledem k závislosti výše sazeb na skutečném rozsahu účasti všech podniků v daném programu, a který může být odlišný od navržených předpokladů ve Strategickém plánu (sazby v plánu pracují s plánovaným MIN – MAX rozpětím).</t>
  </si>
  <si>
    <t xml:space="preserve">Přejeme vám, aby byl tento nástroj nápomocný ve vašich podnikových plánech. </t>
  </si>
  <si>
    <t>Tým ÚZEI/MZe</t>
  </si>
  <si>
    <t>Vstup na kalkulačku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</si>
</sst>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rgb="FF0066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0" tint="-0.24994659260841701"/>
      <name val="Calibri"/>
      <family val="2"/>
      <charset val="238"/>
      <scheme val="minor"/>
    </font>
    <font>
      <b/>
      <sz val="11"/>
      <color rgb="FF006600"/>
      <name val="Calibri"/>
      <family val="2"/>
      <charset val="238"/>
      <scheme val="minor"/>
    </font>
    <font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scheme val="minor"/>
    </font>
    <font>
      <sz val="11"/>
      <color rgb="FFFFFFCC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600"/>
      <name val="Calibri"/>
      <family val="2"/>
      <charset val="238"/>
    </font>
    <font>
      <b/>
      <u/>
      <sz val="16"/>
      <color rgb="FF0066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006600"/>
      </left>
      <right/>
      <top style="thin">
        <color rgb="FF006600"/>
      </top>
      <bottom/>
      <diagonal/>
    </border>
    <border>
      <left/>
      <right/>
      <top style="thin">
        <color rgb="FF006600"/>
      </top>
      <bottom/>
      <diagonal/>
    </border>
    <border>
      <left/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/>
      <top/>
      <bottom/>
      <diagonal/>
    </border>
    <border>
      <left/>
      <right style="thin">
        <color rgb="FF006600"/>
      </right>
      <top/>
      <bottom/>
      <diagonal/>
    </border>
    <border>
      <left style="thin">
        <color rgb="FF006600"/>
      </left>
      <right/>
      <top/>
      <bottom style="thin">
        <color rgb="FF006600"/>
      </bottom>
      <diagonal/>
    </border>
    <border>
      <left/>
      <right/>
      <top/>
      <bottom style="thin">
        <color rgb="FF006600"/>
      </bottom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 style="thin">
        <color rgb="FFFF5050"/>
      </left>
      <right style="thin">
        <color rgb="FFFF5050"/>
      </right>
      <top style="thin">
        <color rgb="FFFF5050"/>
      </top>
      <bottom style="thin">
        <color rgb="FFFF5050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rgb="FFFF7C80"/>
      </left>
      <right style="thin">
        <color rgb="FFFF7C80"/>
      </right>
      <top style="thin">
        <color rgb="FFFF7C80"/>
      </top>
      <bottom style="thin">
        <color rgb="FFFF7C80"/>
      </bottom>
      <diagonal/>
    </border>
    <border>
      <left/>
      <right/>
      <top style="thin">
        <color rgb="FF006600"/>
      </top>
      <bottom style="thin">
        <color rgb="FF0066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/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20" fillId="0" borderId="0"/>
    <xf numFmtId="0" fontId="1" fillId="0" borderId="0"/>
  </cellStyleXfs>
  <cellXfs count="148">
    <xf numFmtId="0" fontId="0" fillId="0" borderId="0" xfId="0"/>
    <xf numFmtId="0" fontId="0" fillId="7" borderId="0" xfId="0" applyFill="1"/>
    <xf numFmtId="0" fontId="0" fillId="7" borderId="1" xfId="0" applyFill="1" applyBorder="1" applyAlignment="1">
      <alignment horizontal="left" vertical="center" indent="1"/>
    </xf>
    <xf numFmtId="164" fontId="0" fillId="7" borderId="1" xfId="0" applyNumberFormat="1" applyFill="1" applyBorder="1" applyAlignment="1">
      <alignment horizontal="right" vertical="center" indent="1"/>
    </xf>
    <xf numFmtId="0" fontId="8" fillId="7" borderId="0" xfId="0" applyFont="1" applyFill="1"/>
    <xf numFmtId="3" fontId="0" fillId="7" borderId="1" xfId="0" applyNumberFormat="1" applyFill="1" applyBorder="1" applyAlignment="1">
      <alignment horizontal="right" vertical="center" indent="1"/>
    </xf>
    <xf numFmtId="164" fontId="0" fillId="7" borderId="0" xfId="0" applyNumberFormat="1" applyFill="1" applyAlignment="1">
      <alignment horizontal="right" vertical="center" indent="1"/>
    </xf>
    <xf numFmtId="0" fontId="8" fillId="7" borderId="5" xfId="0" applyFont="1" applyFill="1" applyBorder="1" applyAlignment="1">
      <alignment horizontal="left" vertical="center" indent="1"/>
    </xf>
    <xf numFmtId="0" fontId="9" fillId="7" borderId="0" xfId="0" applyFont="1" applyFill="1" applyAlignment="1">
      <alignment horizontal="left" vertical="center" wrapText="1" indent="1"/>
    </xf>
    <xf numFmtId="3" fontId="8" fillId="7" borderId="0" xfId="0" applyNumberFormat="1" applyFont="1" applyFill="1" applyAlignment="1">
      <alignment horizontal="right" vertical="center" indent="1"/>
    </xf>
    <xf numFmtId="3" fontId="8" fillId="7" borderId="0" xfId="0" applyNumberFormat="1" applyFont="1" applyFill="1"/>
    <xf numFmtId="0" fontId="4" fillId="7" borderId="0" xfId="0" applyFont="1" applyFill="1" applyAlignment="1">
      <alignment horizontal="left" vertical="center" wrapText="1" indent="1"/>
    </xf>
    <xf numFmtId="0" fontId="4" fillId="8" borderId="1" xfId="0" applyFont="1" applyFill="1" applyBorder="1" applyAlignment="1">
      <alignment horizontal="left" vertical="center" indent="1"/>
    </xf>
    <xf numFmtId="0" fontId="4" fillId="8" borderId="1" xfId="0" applyFont="1" applyFill="1" applyBorder="1" applyAlignment="1">
      <alignment horizontal="left" vertical="center" wrapText="1" indent="1"/>
    </xf>
    <xf numFmtId="0" fontId="4" fillId="9" borderId="6" xfId="0" applyFont="1" applyFill="1" applyBorder="1" applyAlignment="1">
      <alignment horizontal="left" vertical="center" wrapText="1" indent="1"/>
    </xf>
    <xf numFmtId="0" fontId="14" fillId="9" borderId="6" xfId="1" applyFont="1" applyFill="1" applyBorder="1"/>
    <xf numFmtId="4" fontId="0" fillId="12" borderId="2" xfId="0" applyNumberFormat="1" applyFill="1" applyBorder="1" applyProtection="1">
      <protection hidden="1"/>
    </xf>
    <xf numFmtId="0" fontId="16" fillId="0" borderId="20" xfId="1" applyFont="1" applyBorder="1" applyProtection="1">
      <protection hidden="1"/>
    </xf>
    <xf numFmtId="0" fontId="15" fillId="0" borderId="0" xfId="0" applyFont="1" applyProtection="1">
      <protection hidden="1"/>
    </xf>
    <xf numFmtId="0" fontId="4" fillId="9" borderId="1" xfId="0" applyFont="1" applyFill="1" applyBorder="1" applyAlignment="1">
      <alignment horizontal="left" vertical="center" wrapText="1" indent="1"/>
    </xf>
    <xf numFmtId="3" fontId="0" fillId="7" borderId="0" xfId="0" applyNumberFormat="1" applyFill="1" applyBorder="1" applyAlignment="1">
      <alignment horizontal="right" vertical="center" indent="1"/>
    </xf>
    <xf numFmtId="0" fontId="15" fillId="7" borderId="1" xfId="0" applyFont="1" applyFill="1" applyBorder="1" applyAlignment="1">
      <alignment horizontal="left" vertical="center" indent="1"/>
    </xf>
    <xf numFmtId="164" fontId="15" fillId="7" borderId="1" xfId="0" applyNumberFormat="1" applyFont="1" applyFill="1" applyBorder="1" applyAlignment="1">
      <alignment horizontal="right" vertical="center" indent="1"/>
    </xf>
    <xf numFmtId="0" fontId="8" fillId="7" borderId="0" xfId="0" applyFont="1" applyFill="1" applyBorder="1" applyAlignment="1">
      <alignment horizontal="left" vertical="center" indent="1"/>
    </xf>
    <xf numFmtId="0" fontId="0" fillId="7" borderId="5" xfId="0" applyFill="1" applyBorder="1" applyAlignment="1">
      <alignment horizontal="left" vertical="center" indent="1"/>
    </xf>
    <xf numFmtId="164" fontId="0" fillId="7" borderId="5" xfId="0" applyNumberFormat="1" applyFill="1" applyBorder="1" applyAlignment="1">
      <alignment horizontal="right" vertical="center" indent="1"/>
    </xf>
    <xf numFmtId="3" fontId="0" fillId="7" borderId="5" xfId="0" applyNumberFormat="1" applyFill="1" applyBorder="1" applyAlignment="1">
      <alignment horizontal="right" vertical="center" indent="1"/>
    </xf>
    <xf numFmtId="0" fontId="8" fillId="7" borderId="0" xfId="0" applyFont="1" applyFill="1" applyBorder="1"/>
    <xf numFmtId="0" fontId="0" fillId="7" borderId="0" xfId="0" applyFill="1" applyBorder="1" applyAlignment="1">
      <alignment horizontal="left" vertical="center" indent="1"/>
    </xf>
    <xf numFmtId="164" fontId="0" fillId="7" borderId="0" xfId="0" applyNumberFormat="1" applyFill="1" applyBorder="1" applyAlignment="1">
      <alignment horizontal="right" vertical="center" indent="1"/>
    </xf>
    <xf numFmtId="0" fontId="22" fillId="7" borderId="5" xfId="0" applyFont="1" applyFill="1" applyBorder="1" applyAlignment="1">
      <alignment horizontal="left" vertical="center" indent="1"/>
    </xf>
    <xf numFmtId="164" fontId="24" fillId="15" borderId="1" xfId="0" applyNumberFormat="1" applyFont="1" applyFill="1" applyBorder="1" applyAlignment="1">
      <alignment horizontal="right" vertical="center" indent="1"/>
    </xf>
    <xf numFmtId="164" fontId="24" fillId="15" borderId="1" xfId="0" applyNumberFormat="1" applyFont="1" applyFill="1" applyBorder="1" applyAlignment="1" applyProtection="1">
      <alignment horizontal="right" vertical="center" indent="1"/>
      <protection hidden="1"/>
    </xf>
    <xf numFmtId="0" fontId="4" fillId="8" borderId="1" xfId="0" applyFont="1" applyFill="1" applyBorder="1" applyAlignment="1">
      <alignment horizontal="center" vertical="center" wrapText="1"/>
    </xf>
    <xf numFmtId="0" fontId="0" fillId="7" borderId="0" xfId="0" applyFill="1" applyBorder="1"/>
    <xf numFmtId="164" fontId="0" fillId="7" borderId="1" xfId="0" applyNumberFormat="1" applyFill="1" applyBorder="1" applyAlignment="1">
      <alignment horizontal="left" vertical="center" indent="1"/>
    </xf>
    <xf numFmtId="3" fontId="0" fillId="7" borderId="1" xfId="0" applyNumberFormat="1" applyFill="1" applyBorder="1" applyAlignment="1">
      <alignment horizontal="left" vertical="center" indent="1"/>
    </xf>
    <xf numFmtId="0" fontId="4" fillId="8" borderId="26" xfId="0" applyFont="1" applyFill="1" applyBorder="1" applyAlignment="1">
      <alignment horizontal="left" vertical="center" indent="1"/>
    </xf>
    <xf numFmtId="164" fontId="0" fillId="7" borderId="26" xfId="0" applyNumberFormat="1" applyFill="1" applyBorder="1" applyAlignment="1">
      <alignment horizontal="right" vertical="center" indent="1"/>
    </xf>
    <xf numFmtId="0" fontId="4" fillId="8" borderId="27" xfId="0" applyFont="1" applyFill="1" applyBorder="1" applyAlignment="1">
      <alignment horizontal="center" vertical="center"/>
    </xf>
    <xf numFmtId="0" fontId="0" fillId="7" borderId="5" xfId="0" applyFill="1" applyBorder="1"/>
    <xf numFmtId="0" fontId="0" fillId="7" borderId="0" xfId="0" applyFont="1" applyFill="1"/>
    <xf numFmtId="0" fontId="26" fillId="7" borderId="0" xfId="0" applyFont="1" applyFill="1" applyBorder="1" applyAlignment="1">
      <alignment horizontal="left" vertical="center" indent="1"/>
    </xf>
    <xf numFmtId="0" fontId="26" fillId="8" borderId="1" xfId="0" applyFont="1" applyFill="1" applyBorder="1" applyAlignment="1">
      <alignment horizontal="center" vertical="center" wrapText="1"/>
    </xf>
    <xf numFmtId="0" fontId="26" fillId="9" borderId="6" xfId="0" applyFont="1" applyFill="1" applyBorder="1" applyAlignment="1">
      <alignment horizontal="left" vertical="center" wrapText="1" indent="1"/>
    </xf>
    <xf numFmtId="164" fontId="0" fillId="7" borderId="0" xfId="0" applyNumberFormat="1" applyFont="1" applyFill="1" applyBorder="1" applyAlignment="1">
      <alignment horizontal="right" vertical="center" indent="1"/>
    </xf>
    <xf numFmtId="164" fontId="0" fillId="7" borderId="1" xfId="0" applyNumberFormat="1" applyFont="1" applyFill="1" applyBorder="1" applyAlignment="1">
      <alignment horizontal="right" vertical="center" indent="1"/>
    </xf>
    <xf numFmtId="0" fontId="26" fillId="8" borderId="1" xfId="0" applyFont="1" applyFill="1" applyBorder="1" applyAlignment="1">
      <alignment horizontal="left" vertical="center" indent="1"/>
    </xf>
    <xf numFmtId="0" fontId="0" fillId="10" borderId="28" xfId="0" applyFont="1" applyFill="1" applyBorder="1" applyAlignment="1">
      <alignment horizontal="left" vertical="center" indent="1"/>
    </xf>
    <xf numFmtId="3" fontId="4" fillId="12" borderId="17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 applyProtection="1">
      <alignment horizontal="center" vertical="center" wrapText="1"/>
      <protection hidden="1"/>
    </xf>
    <xf numFmtId="164" fontId="0" fillId="7" borderId="1" xfId="0" applyNumberFormat="1" applyFill="1" applyBorder="1" applyAlignment="1" applyProtection="1">
      <alignment horizontal="right" vertical="center" indent="1"/>
      <protection locked="0"/>
    </xf>
    <xf numFmtId="0" fontId="0" fillId="10" borderId="6" xfId="0" applyFill="1" applyBorder="1" applyAlignment="1" applyProtection="1">
      <alignment horizontal="left" vertical="center" indent="1"/>
      <protection locked="0"/>
    </xf>
    <xf numFmtId="0" fontId="14" fillId="9" borderId="6" xfId="1" applyFont="1" applyFill="1" applyBorder="1" applyProtection="1">
      <protection locked="0"/>
    </xf>
    <xf numFmtId="3" fontId="0" fillId="10" borderId="6" xfId="0" applyNumberFormat="1" applyFill="1" applyBorder="1" applyAlignment="1" applyProtection="1">
      <alignment horizontal="right" vertical="center" indent="1"/>
      <protection locked="0"/>
    </xf>
    <xf numFmtId="0" fontId="0" fillId="10" borderId="29" xfId="0" applyFont="1" applyFill="1" applyBorder="1" applyAlignment="1" applyProtection="1">
      <alignment horizontal="left" vertical="center" indent="1"/>
      <protection locked="0"/>
    </xf>
    <xf numFmtId="164" fontId="15" fillId="7" borderId="1" xfId="0" applyNumberFormat="1" applyFont="1" applyFill="1" applyBorder="1" applyAlignment="1" applyProtection="1">
      <alignment horizontal="right" vertical="center" indent="1"/>
      <protection locked="0"/>
    </xf>
    <xf numFmtId="0" fontId="0" fillId="7" borderId="0" xfId="0" applyFill="1" applyProtection="1">
      <protection hidden="1"/>
    </xf>
    <xf numFmtId="0" fontId="4" fillId="9" borderId="6" xfId="0" applyFont="1" applyFill="1" applyBorder="1" applyAlignment="1" applyProtection="1">
      <alignment horizontal="left" vertical="center" wrapText="1" indent="1"/>
      <protection hidden="1"/>
    </xf>
    <xf numFmtId="0" fontId="0" fillId="4" borderId="8" xfId="0" applyFill="1" applyBorder="1" applyProtection="1">
      <protection hidden="1"/>
    </xf>
    <xf numFmtId="0" fontId="4" fillId="4" borderId="9" xfId="0" applyFont="1" applyFill="1" applyBorder="1" applyAlignment="1" applyProtection="1">
      <alignment horizontal="left" vertical="center" wrapText="1" indent="1"/>
      <protection hidden="1"/>
    </xf>
    <xf numFmtId="0" fontId="0" fillId="4" borderId="10" xfId="0" applyFill="1" applyBorder="1" applyAlignment="1" applyProtection="1">
      <alignment horizontal="left" vertical="center" wrapText="1" indent="1"/>
      <protection hidden="1"/>
    </xf>
    <xf numFmtId="0" fontId="0" fillId="10" borderId="11" xfId="0" applyFill="1" applyBorder="1" applyProtection="1">
      <protection hidden="1"/>
    </xf>
    <xf numFmtId="0" fontId="4" fillId="10" borderId="0" xfId="0" applyFont="1" applyFill="1" applyBorder="1" applyAlignment="1" applyProtection="1">
      <alignment horizontal="left" vertical="center" wrapText="1" indent="1"/>
      <protection hidden="1"/>
    </xf>
    <xf numFmtId="0" fontId="0" fillId="10" borderId="12" xfId="0" applyFill="1" applyBorder="1" applyAlignment="1" applyProtection="1">
      <alignment horizontal="left" vertical="center" wrapText="1" indent="1"/>
      <protection hidden="1"/>
    </xf>
    <xf numFmtId="0" fontId="7" fillId="10" borderId="0" xfId="1" applyFill="1" applyBorder="1" applyAlignment="1" applyProtection="1">
      <alignment horizontal="left" vertical="center" indent="1"/>
      <protection hidden="1"/>
    </xf>
    <xf numFmtId="164" fontId="0" fillId="10" borderId="0" xfId="0" applyNumberFormat="1" applyFill="1" applyBorder="1" applyAlignment="1" applyProtection="1">
      <alignment horizontal="right" vertical="center" indent="1"/>
      <protection hidden="1"/>
    </xf>
    <xf numFmtId="1" fontId="0" fillId="10" borderId="0" xfId="0" applyNumberFormat="1" applyFill="1" applyBorder="1" applyAlignment="1" applyProtection="1">
      <alignment horizontal="right" vertical="center" indent="1"/>
      <protection hidden="1"/>
    </xf>
    <xf numFmtId="0" fontId="0" fillId="10" borderId="12" xfId="0" applyFill="1" applyBorder="1" applyProtection="1">
      <protection hidden="1"/>
    </xf>
    <xf numFmtId="0" fontId="0" fillId="10" borderId="0" xfId="0" applyFill="1" applyBorder="1" applyAlignment="1" applyProtection="1">
      <alignment horizontal="left" vertical="center" indent="1"/>
      <protection hidden="1"/>
    </xf>
    <xf numFmtId="0" fontId="27" fillId="13" borderId="6" xfId="0" applyFont="1" applyFill="1" applyBorder="1" applyAlignment="1" applyProtection="1">
      <alignment horizontal="right" vertical="center" indent="1"/>
      <protection hidden="1"/>
    </xf>
    <xf numFmtId="0" fontId="0" fillId="7" borderId="0" xfId="0" applyFill="1" applyAlignment="1" applyProtection="1">
      <alignment horizontal="left" vertical="center" indent="1"/>
      <protection hidden="1"/>
    </xf>
    <xf numFmtId="0" fontId="27" fillId="10" borderId="0" xfId="0" applyFont="1" applyFill="1" applyBorder="1" applyAlignment="1" applyProtection="1">
      <alignment horizontal="center"/>
      <protection hidden="1"/>
    </xf>
    <xf numFmtId="1" fontId="0" fillId="14" borderId="24" xfId="0" applyNumberFormat="1" applyFill="1" applyBorder="1" applyAlignment="1" applyProtection="1">
      <alignment horizontal="right" vertical="center" indent="1"/>
      <protection hidden="1"/>
    </xf>
    <xf numFmtId="0" fontId="0" fillId="11" borderId="16" xfId="0" applyFill="1" applyBorder="1" applyProtection="1">
      <protection hidden="1"/>
    </xf>
    <xf numFmtId="0" fontId="0" fillId="10" borderId="13" xfId="0" applyFill="1" applyBorder="1" applyProtection="1">
      <protection hidden="1"/>
    </xf>
    <xf numFmtId="0" fontId="10" fillId="10" borderId="14" xfId="1" applyFont="1" applyFill="1" applyBorder="1" applyAlignment="1" applyProtection="1">
      <alignment horizontal="left" indent="1"/>
      <protection hidden="1"/>
    </xf>
    <xf numFmtId="0" fontId="0" fillId="10" borderId="14" xfId="0" applyFill="1" applyBorder="1" applyAlignment="1" applyProtection="1">
      <alignment horizontal="left" vertical="center" indent="1"/>
      <protection hidden="1"/>
    </xf>
    <xf numFmtId="164" fontId="25" fillId="10" borderId="14" xfId="0" applyNumberFormat="1" applyFont="1" applyFill="1" applyBorder="1" applyAlignment="1" applyProtection="1">
      <alignment horizontal="right" vertical="center" indent="1"/>
      <protection hidden="1"/>
    </xf>
    <xf numFmtId="1" fontId="0" fillId="10" borderId="14" xfId="0" applyNumberFormat="1" applyFill="1" applyBorder="1" applyAlignment="1" applyProtection="1">
      <alignment horizontal="right" vertical="center" indent="1"/>
      <protection hidden="1"/>
    </xf>
    <xf numFmtId="1" fontId="25" fillId="10" borderId="14" xfId="0" applyNumberFormat="1" applyFont="1" applyFill="1" applyBorder="1" applyAlignment="1" applyProtection="1">
      <alignment horizontal="right" vertical="center" indent="1"/>
      <protection hidden="1"/>
    </xf>
    <xf numFmtId="164" fontId="0" fillId="10" borderId="14" xfId="0" applyNumberFormat="1" applyFill="1" applyBorder="1" applyAlignment="1" applyProtection="1">
      <alignment horizontal="right" vertical="center" indent="1"/>
      <protection hidden="1"/>
    </xf>
    <xf numFmtId="0" fontId="0" fillId="10" borderId="15" xfId="0" applyFill="1" applyBorder="1" applyProtection="1">
      <protection hidden="1"/>
    </xf>
    <xf numFmtId="0" fontId="0" fillId="7" borderId="25" xfId="0" applyFill="1" applyBorder="1" applyProtection="1">
      <protection hidden="1"/>
    </xf>
    <xf numFmtId="0" fontId="10" fillId="7" borderId="25" xfId="1" applyFont="1" applyFill="1" applyBorder="1" applyAlignment="1" applyProtection="1">
      <alignment horizontal="left" indent="1"/>
      <protection hidden="1"/>
    </xf>
    <xf numFmtId="0" fontId="0" fillId="7" borderId="25" xfId="0" applyFill="1" applyBorder="1" applyAlignment="1" applyProtection="1">
      <alignment horizontal="left" vertical="center" indent="1"/>
      <protection hidden="1"/>
    </xf>
    <xf numFmtId="164" fontId="0" fillId="7" borderId="25" xfId="0" applyNumberFormat="1" applyFill="1" applyBorder="1" applyAlignment="1" applyProtection="1">
      <alignment horizontal="right" vertical="center" indent="1"/>
      <protection hidden="1"/>
    </xf>
    <xf numFmtId="1" fontId="0" fillId="7" borderId="25" xfId="0" applyNumberFormat="1" applyFill="1" applyBorder="1" applyAlignment="1" applyProtection="1">
      <alignment horizontal="right" vertical="center" indent="1"/>
      <protection hidden="1"/>
    </xf>
    <xf numFmtId="0" fontId="0" fillId="10" borderId="8" xfId="0" applyFill="1" applyBorder="1" applyProtection="1">
      <protection hidden="1"/>
    </xf>
    <xf numFmtId="0" fontId="10" fillId="10" borderId="9" xfId="1" applyFont="1" applyFill="1" applyBorder="1" applyAlignment="1" applyProtection="1">
      <alignment horizontal="left" indent="1"/>
      <protection hidden="1"/>
    </xf>
    <xf numFmtId="0" fontId="0" fillId="10" borderId="9" xfId="0" applyFill="1" applyBorder="1" applyAlignment="1" applyProtection="1">
      <alignment horizontal="left" vertical="center" indent="1"/>
      <protection hidden="1"/>
    </xf>
    <xf numFmtId="164" fontId="0" fillId="10" borderId="9" xfId="0" applyNumberFormat="1" applyFill="1" applyBorder="1" applyAlignment="1" applyProtection="1">
      <alignment horizontal="right" vertical="center" indent="1"/>
      <protection hidden="1"/>
    </xf>
    <xf numFmtId="1" fontId="0" fillId="10" borderId="9" xfId="0" applyNumberFormat="1" applyFill="1" applyBorder="1" applyAlignment="1" applyProtection="1">
      <alignment horizontal="right" vertical="center" indent="1"/>
      <protection hidden="1"/>
    </xf>
    <xf numFmtId="0" fontId="0" fillId="10" borderId="10" xfId="0" applyFill="1" applyBorder="1" applyProtection="1">
      <protection hidden="1"/>
    </xf>
    <xf numFmtId="0" fontId="14" fillId="10" borderId="0" xfId="1" applyFont="1" applyFill="1" applyBorder="1" applyAlignment="1" applyProtection="1">
      <alignment horizontal="left" indent="1"/>
      <protection hidden="1"/>
    </xf>
    <xf numFmtId="0" fontId="0" fillId="10" borderId="14" xfId="0" applyFill="1" applyBorder="1" applyProtection="1">
      <protection hidden="1"/>
    </xf>
    <xf numFmtId="0" fontId="0" fillId="7" borderId="0" xfId="0" applyFill="1" applyBorder="1" applyProtection="1">
      <protection hidden="1"/>
    </xf>
    <xf numFmtId="0" fontId="0" fillId="10" borderId="9" xfId="0" applyFill="1" applyBorder="1" applyProtection="1">
      <protection hidden="1"/>
    </xf>
    <xf numFmtId="0" fontId="14" fillId="10" borderId="0" xfId="1" applyFont="1" applyFill="1" applyBorder="1" applyAlignment="1" applyProtection="1">
      <alignment horizontal="left" vertical="center" indent="1"/>
      <protection hidden="1"/>
    </xf>
    <xf numFmtId="0" fontId="0" fillId="10" borderId="0" xfId="0" applyFill="1" applyBorder="1" applyProtection="1">
      <protection hidden="1"/>
    </xf>
    <xf numFmtId="0" fontId="0" fillId="10" borderId="6" xfId="0" applyFill="1" applyBorder="1" applyAlignment="1" applyProtection="1">
      <alignment horizontal="right" vertical="center" indent="1"/>
      <protection locked="0"/>
    </xf>
    <xf numFmtId="0" fontId="10" fillId="10" borderId="0" xfId="1" applyFont="1" applyFill="1" applyBorder="1" applyAlignment="1" applyProtection="1">
      <alignment horizontal="left" vertical="center" indent="1"/>
      <protection locked="0"/>
    </xf>
    <xf numFmtId="0" fontId="10" fillId="10" borderId="0" xfId="1" applyFont="1" applyFill="1" applyBorder="1" applyAlignment="1" applyProtection="1">
      <alignment horizontal="left" indent="1"/>
      <protection locked="0"/>
    </xf>
    <xf numFmtId="0" fontId="21" fillId="10" borderId="0" xfId="0" applyFont="1" applyFill="1" applyBorder="1" applyAlignment="1" applyProtection="1">
      <alignment horizontal="left" vertical="center" indent="1"/>
      <protection locked="0"/>
    </xf>
    <xf numFmtId="0" fontId="0" fillId="10" borderId="0" xfId="0" applyFill="1" applyBorder="1" applyAlignment="1" applyProtection="1">
      <alignment horizontal="left" vertical="center" indent="1"/>
      <protection locked="0"/>
    </xf>
    <xf numFmtId="0" fontId="4" fillId="0" borderId="1" xfId="0" applyFont="1" applyBorder="1" applyProtection="1">
      <protection hidden="1"/>
    </xf>
    <xf numFmtId="0" fontId="0" fillId="0" borderId="1" xfId="0" applyBorder="1" applyProtection="1">
      <protection hidden="1"/>
    </xf>
    <xf numFmtId="0" fontId="0" fillId="0" borderId="0" xfId="0" applyProtection="1">
      <protection hidden="1"/>
    </xf>
    <xf numFmtId="0" fontId="23" fillId="0" borderId="0" xfId="0" applyFont="1" applyProtection="1">
      <protection hidden="1"/>
    </xf>
    <xf numFmtId="3" fontId="4" fillId="0" borderId="0" xfId="0" applyNumberFormat="1" applyFont="1" applyProtection="1">
      <protection hidden="1"/>
    </xf>
    <xf numFmtId="0" fontId="0" fillId="0" borderId="18" xfId="0" applyBorder="1" applyAlignment="1" applyProtection="1">
      <alignment horizontal="center" vertical="center" wrapText="1"/>
      <protection hidden="1"/>
    </xf>
    <xf numFmtId="0" fontId="0" fillId="0" borderId="19" xfId="0" applyBorder="1" applyAlignment="1" applyProtection="1">
      <alignment horizontal="center" vertical="center" wrapText="1"/>
      <protection hidden="1"/>
    </xf>
    <xf numFmtId="4" fontId="0" fillId="0" borderId="1" xfId="0" applyNumberFormat="1" applyBorder="1" applyProtection="1">
      <protection hidden="1"/>
    </xf>
    <xf numFmtId="4" fontId="4" fillId="8" borderId="1" xfId="0" applyNumberFormat="1" applyFont="1" applyFill="1" applyBorder="1" applyProtection="1">
      <protection hidden="1"/>
    </xf>
    <xf numFmtId="4" fontId="6" fillId="0" borderId="1" xfId="0" applyNumberFormat="1" applyFont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8" borderId="0" xfId="0" applyFill="1" applyProtection="1">
      <protection hidden="1"/>
    </xf>
    <xf numFmtId="0" fontId="13" fillId="0" borderId="0" xfId="0" applyFont="1" applyProtection="1">
      <protection hidden="1"/>
    </xf>
    <xf numFmtId="10" fontId="11" fillId="0" borderId="0" xfId="0" applyNumberFormat="1" applyFont="1" applyProtection="1">
      <protection hidden="1"/>
    </xf>
    <xf numFmtId="3" fontId="0" fillId="0" borderId="0" xfId="0" applyNumberFormat="1" applyProtection="1">
      <protection hidden="1"/>
    </xf>
    <xf numFmtId="10" fontId="12" fillId="0" borderId="0" xfId="0" applyNumberFormat="1" applyFont="1" applyProtection="1">
      <protection hidden="1"/>
    </xf>
    <xf numFmtId="0" fontId="16" fillId="0" borderId="20" xfId="1" applyFont="1" applyFill="1" applyBorder="1" applyProtection="1">
      <protection hidden="1"/>
    </xf>
    <xf numFmtId="3" fontId="0" fillId="0" borderId="2" xfId="0" applyNumberFormat="1" applyBorder="1" applyProtection="1">
      <protection hidden="1"/>
    </xf>
    <xf numFmtId="0" fontId="0" fillId="5" borderId="2" xfId="0" applyFill="1" applyBorder="1" applyProtection="1">
      <protection hidden="1"/>
    </xf>
    <xf numFmtId="0" fontId="0" fillId="0" borderId="22" xfId="0" applyBorder="1" applyAlignment="1" applyProtection="1">
      <alignment horizontal="center" vertical="center" wrapText="1"/>
      <protection hidden="1"/>
    </xf>
    <xf numFmtId="0" fontId="0" fillId="0" borderId="23" xfId="0" applyBorder="1" applyAlignment="1" applyProtection="1">
      <alignment horizontal="center" vertical="center" wrapText="1"/>
      <protection hidden="1"/>
    </xf>
    <xf numFmtId="3" fontId="0" fillId="5" borderId="0" xfId="0" applyNumberFormat="1" applyFill="1" applyProtection="1">
      <protection hidden="1"/>
    </xf>
    <xf numFmtId="10" fontId="0" fillId="0" borderId="0" xfId="0" applyNumberFormat="1" applyProtection="1">
      <protection hidden="1"/>
    </xf>
    <xf numFmtId="0" fontId="0" fillId="0" borderId="7" xfId="0" applyBorder="1" applyProtection="1">
      <protection hidden="1"/>
    </xf>
    <xf numFmtId="0" fontId="4" fillId="0" borderId="0" xfId="0" applyFont="1" applyProtection="1">
      <protection hidden="1"/>
    </xf>
    <xf numFmtId="0" fontId="4" fillId="2" borderId="0" xfId="0" applyFont="1" applyFill="1" applyProtection="1">
      <protection hidden="1"/>
    </xf>
    <xf numFmtId="3" fontId="4" fillId="0" borderId="3" xfId="0" applyNumberFormat="1" applyFont="1" applyBorder="1" applyProtection="1">
      <protection hidden="1"/>
    </xf>
    <xf numFmtId="0" fontId="3" fillId="0" borderId="0" xfId="0" applyFont="1" applyProtection="1">
      <protection hidden="1"/>
    </xf>
    <xf numFmtId="0" fontId="17" fillId="0" borderId="1" xfId="0" applyFont="1" applyBorder="1" applyProtection="1">
      <protection hidden="1"/>
    </xf>
    <xf numFmtId="0" fontId="0" fillId="5" borderId="1" xfId="0" applyFill="1" applyBorder="1" applyProtection="1">
      <protection hidden="1"/>
    </xf>
    <xf numFmtId="3" fontId="5" fillId="0" borderId="0" xfId="0" applyNumberFormat="1" applyFont="1" applyProtection="1">
      <protection hidden="1"/>
    </xf>
    <xf numFmtId="0" fontId="5" fillId="2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4" fillId="0" borderId="2" xfId="0" applyFont="1" applyBorder="1" applyProtection="1">
      <protection hidden="1"/>
    </xf>
    <xf numFmtId="0" fontId="4" fillId="0" borderId="4" xfId="0" applyFont="1" applyBorder="1" applyProtection="1">
      <protection hidden="1"/>
    </xf>
    <xf numFmtId="0" fontId="4" fillId="3" borderId="0" xfId="0" applyFont="1" applyFill="1" applyProtection="1">
      <protection hidden="1"/>
    </xf>
    <xf numFmtId="10" fontId="5" fillId="0" borderId="0" xfId="0" applyNumberFormat="1" applyFont="1" applyProtection="1">
      <protection hidden="1"/>
    </xf>
    <xf numFmtId="0" fontId="0" fillId="4" borderId="1" xfId="0" applyFill="1" applyBorder="1" applyProtection="1">
      <protection hidden="1"/>
    </xf>
    <xf numFmtId="0" fontId="0" fillId="6" borderId="1" xfId="0" applyFill="1" applyBorder="1" applyProtection="1">
      <protection hidden="1"/>
    </xf>
    <xf numFmtId="4" fontId="0" fillId="0" borderId="0" xfId="0" applyNumberFormat="1" applyProtection="1">
      <protection hidden="1"/>
    </xf>
    <xf numFmtId="4" fontId="4" fillId="0" borderId="0" xfId="0" applyNumberFormat="1" applyFont="1" applyProtection="1">
      <protection hidden="1"/>
    </xf>
    <xf numFmtId="0" fontId="29" fillId="7" borderId="0" xfId="0" applyFont="1" applyFill="1"/>
    <xf numFmtId="0" fontId="28" fillId="7" borderId="0" xfId="1" applyFont="1" applyFill="1" applyProtection="1">
      <protection locked="0"/>
    </xf>
  </cellXfs>
  <cellStyles count="4">
    <cellStyle name="Hypertextový odkaz" xfId="1" builtinId="8"/>
    <cellStyle name="Normální" xfId="0" builtinId="0"/>
    <cellStyle name="Normální 2" xfId="2" xr:uid="{DDB552EE-1EF4-4790-801E-78611530F8DF}"/>
    <cellStyle name="Normální 3" xfId="3" xr:uid="{E7F69CB2-1B05-4863-9775-ABE99B240F72}"/>
  </cellStyles>
  <dxfs count="62">
    <dxf>
      <font>
        <strike val="0"/>
        <color rgb="FFFF5050"/>
      </font>
      <fill>
        <patternFill>
          <bgColor theme="5" tint="0.79998168889431442"/>
        </patternFill>
      </fill>
    </dxf>
    <dxf>
      <font>
        <strike val="0"/>
      </font>
      <fill>
        <patternFill>
          <bgColor rgb="FFFF7C80"/>
        </patternFill>
      </fill>
    </dxf>
    <dxf>
      <font>
        <strike val="0"/>
        <color rgb="FFFF5050"/>
      </font>
      <fill>
        <patternFill>
          <bgColor theme="5" tint="0.79998168889431442"/>
        </patternFill>
      </fill>
    </dxf>
    <dxf>
      <font>
        <strike val="0"/>
      </font>
      <fill>
        <patternFill>
          <bgColor rgb="FFFF7C80"/>
        </patternFill>
      </fill>
    </dxf>
    <dxf>
      <font>
        <strike val="0"/>
        <color rgb="FFFF5050"/>
      </font>
      <fill>
        <patternFill>
          <bgColor theme="5" tint="0.79998168889431442"/>
        </patternFill>
      </fill>
    </dxf>
    <dxf>
      <font>
        <strike val="0"/>
      </font>
      <fill>
        <patternFill>
          <bgColor rgb="FFFF7C80"/>
        </patternFill>
      </fill>
    </dxf>
    <dxf>
      <font>
        <strike val="0"/>
      </font>
      <fill>
        <patternFill>
          <bgColor rgb="FFFF7C80"/>
        </patternFill>
      </fill>
    </dxf>
    <dxf>
      <font>
        <strike val="0"/>
        <color rgb="FFFF5050"/>
      </font>
      <fill>
        <patternFill>
          <bgColor theme="5" tint="0.79998168889431442"/>
        </patternFill>
      </fill>
    </dxf>
    <dxf>
      <font>
        <strike val="0"/>
        <color rgb="FFFF5050"/>
      </font>
      <fill>
        <patternFill>
          <bgColor theme="5" tint="0.79998168889431442"/>
        </patternFill>
      </fill>
    </dxf>
    <dxf>
      <font>
        <strike val="0"/>
      </font>
      <fill>
        <patternFill>
          <bgColor rgb="FFFF7C80"/>
        </patternFill>
      </fill>
    </dxf>
    <dxf>
      <font>
        <strike val="0"/>
      </font>
      <fill>
        <patternFill>
          <bgColor rgb="FFFF7C80"/>
        </patternFill>
      </fill>
    </dxf>
    <dxf>
      <font>
        <strike val="0"/>
        <color rgb="FFFF5050"/>
      </font>
      <fill>
        <patternFill>
          <bgColor theme="5" tint="0.79998168889431442"/>
        </patternFill>
      </fill>
    </dxf>
    <dxf>
      <font>
        <strike val="0"/>
      </font>
      <fill>
        <patternFill>
          <bgColor rgb="FFFF7C80"/>
        </patternFill>
      </fill>
    </dxf>
    <dxf>
      <font>
        <strike val="0"/>
        <color rgb="FFFF5050"/>
      </font>
      <fill>
        <patternFill>
          <bgColor theme="5" tint="0.79998168889431442"/>
        </patternFill>
      </fill>
    </dxf>
    <dxf>
      <font>
        <strike val="0"/>
      </font>
      <fill>
        <patternFill>
          <bgColor rgb="FFFF7C80"/>
        </patternFill>
      </fill>
    </dxf>
    <dxf>
      <font>
        <strike val="0"/>
        <color rgb="FFFF5050"/>
      </font>
      <fill>
        <patternFill>
          <bgColor theme="5" tint="0.79998168889431442"/>
        </patternFill>
      </fill>
    </dxf>
    <dxf>
      <font>
        <strike val="0"/>
      </font>
      <fill>
        <patternFill>
          <bgColor rgb="FFFF7C80"/>
        </patternFill>
      </fill>
    </dxf>
    <dxf>
      <font>
        <strike val="0"/>
        <color rgb="FFFF5050"/>
      </font>
      <fill>
        <patternFill>
          <bgColor theme="5" tint="0.79998168889431442"/>
        </patternFill>
      </fill>
    </dxf>
    <dxf>
      <font>
        <strike val="0"/>
      </font>
      <fill>
        <patternFill>
          <bgColor rgb="FFFF7C80"/>
        </patternFill>
      </fill>
    </dxf>
    <dxf>
      <font>
        <strike val="0"/>
        <color rgb="FFFF5050"/>
      </font>
      <fill>
        <patternFill>
          <bgColor theme="5" tint="0.79998168889431442"/>
        </patternFill>
      </fill>
    </dxf>
    <dxf>
      <font>
        <strike val="0"/>
      </font>
      <fill>
        <patternFill>
          <bgColor rgb="FFFF7C80"/>
        </patternFill>
      </fill>
    </dxf>
    <dxf>
      <font>
        <strike val="0"/>
        <color rgb="FFFF5050"/>
      </font>
      <fill>
        <patternFill>
          <bgColor theme="5" tint="0.79998168889431442"/>
        </patternFill>
      </fill>
    </dxf>
    <dxf>
      <font>
        <strike val="0"/>
      </font>
      <fill>
        <patternFill>
          <bgColor rgb="FFFF7C80"/>
        </patternFill>
      </fill>
    </dxf>
    <dxf>
      <font>
        <strike val="0"/>
        <color rgb="FFFF5050"/>
      </font>
      <fill>
        <patternFill>
          <bgColor theme="5" tint="0.79998168889431442"/>
        </patternFill>
      </fill>
    </dxf>
    <dxf>
      <font>
        <strike val="0"/>
      </font>
      <fill>
        <patternFill>
          <bgColor rgb="FFFF7C80"/>
        </patternFill>
      </fill>
    </dxf>
    <dxf>
      <font>
        <strike val="0"/>
        <color rgb="FFFF5050"/>
      </font>
      <fill>
        <patternFill>
          <bgColor theme="5" tint="0.79998168889431442"/>
        </patternFill>
      </fill>
    </dxf>
    <dxf>
      <font>
        <b/>
        <i val="0"/>
        <color rgb="FFFFFF66"/>
      </font>
      <fill>
        <patternFill>
          <bgColor rgb="FFFF9900"/>
        </patternFill>
      </fill>
      <border>
        <left style="thin">
          <color rgb="FFCC0000"/>
        </left>
        <right style="thin">
          <color rgb="FFCC0000"/>
        </right>
        <top style="thin">
          <color rgb="FFCC0000"/>
        </top>
        <bottom style="thin">
          <color rgb="FFCC0000"/>
        </bottom>
        <vertical/>
        <horizontal/>
      </border>
    </dxf>
    <dxf>
      <font>
        <color rgb="FFCC0000"/>
      </font>
      <fill>
        <patternFill>
          <bgColor theme="7" tint="0.39994506668294322"/>
        </patternFill>
      </fill>
      <border>
        <left style="thin">
          <color rgb="FFCC0000"/>
        </left>
        <right style="thin">
          <color rgb="FFCC0000"/>
        </right>
        <top style="thin">
          <color rgb="FFCC0000"/>
        </top>
        <bottom style="thin">
          <color rgb="FFCC0000"/>
        </bottom>
        <vertical/>
        <horizontal/>
      </border>
    </dxf>
    <dxf>
      <font>
        <color rgb="FFCC0000"/>
      </font>
      <fill>
        <patternFill>
          <bgColor theme="7" tint="0.39994506668294322"/>
        </patternFill>
      </fill>
      <border>
        <left style="thin">
          <color rgb="FFCC0000"/>
        </left>
        <right style="thin">
          <color rgb="FFCC0000"/>
        </right>
        <top style="thin">
          <color rgb="FFCC0000"/>
        </top>
        <bottom style="thin">
          <color rgb="FFCC0000"/>
        </bottom>
        <vertical/>
        <horizontal/>
      </border>
    </dxf>
    <dxf>
      <font>
        <strike val="0"/>
      </font>
      <fill>
        <patternFill>
          <bgColor rgb="FFFF7C80"/>
        </patternFill>
      </fill>
    </dxf>
    <dxf>
      <font>
        <strike val="0"/>
        <color rgb="FFFF5050"/>
      </font>
      <fill>
        <patternFill>
          <bgColor theme="5" tint="0.79998168889431442"/>
        </patternFill>
      </fill>
    </dxf>
    <dxf>
      <font>
        <strike val="0"/>
        <color rgb="FFFF5050"/>
      </font>
      <fill>
        <patternFill>
          <bgColor theme="5" tint="0.79998168889431442"/>
        </patternFill>
      </fill>
    </dxf>
    <dxf>
      <font>
        <strike val="0"/>
      </font>
      <fill>
        <patternFill>
          <bgColor rgb="FFFF7C80"/>
        </patternFill>
      </fill>
    </dxf>
    <dxf>
      <font>
        <strike val="0"/>
        <color rgb="FFFF5050"/>
      </font>
      <fill>
        <patternFill>
          <bgColor theme="5" tint="0.79998168889431442"/>
        </patternFill>
      </fill>
    </dxf>
    <dxf>
      <font>
        <b/>
        <i val="0"/>
        <color rgb="FFFFFF66"/>
      </font>
      <fill>
        <patternFill>
          <bgColor rgb="FFFFC000"/>
        </patternFill>
      </fill>
      <border>
        <left style="thin">
          <color rgb="FFCC0000"/>
        </left>
        <right style="thin">
          <color rgb="FFCC0000"/>
        </right>
        <top style="thin">
          <color rgb="FFCC0000"/>
        </top>
        <bottom style="thin">
          <color rgb="FFCC0000"/>
        </bottom>
        <vertical/>
        <horizontal/>
      </border>
    </dxf>
    <dxf>
      <font>
        <color rgb="FFCC0000"/>
      </font>
      <fill>
        <patternFill>
          <bgColor theme="7" tint="0.39994506668294322"/>
        </patternFill>
      </fill>
      <border>
        <left style="thin">
          <color rgb="FFCC0000"/>
        </left>
        <right style="thin">
          <color rgb="FFCC0000"/>
        </right>
        <top style="thin">
          <color rgb="FFCC0000"/>
        </top>
        <bottom style="thin">
          <color rgb="FFCC0000"/>
        </bottom>
        <vertical/>
        <horizontal/>
      </border>
    </dxf>
    <dxf>
      <font>
        <strike val="0"/>
        <color rgb="FFFF5050"/>
      </font>
      <fill>
        <patternFill>
          <bgColor theme="5" tint="0.79998168889431442"/>
        </patternFill>
      </fill>
    </dxf>
    <dxf>
      <font>
        <strike val="0"/>
      </font>
      <fill>
        <patternFill>
          <bgColor rgb="FFFF7C80"/>
        </patternFill>
      </fill>
    </dxf>
    <dxf>
      <font>
        <strike val="0"/>
        <color rgb="FFFF5050"/>
      </font>
      <fill>
        <patternFill>
          <bgColor theme="5" tint="0.79998168889431442"/>
        </patternFill>
      </fill>
    </dxf>
    <dxf>
      <fill>
        <patternFill>
          <bgColor rgb="FFFF7C80"/>
        </patternFill>
      </fill>
    </dxf>
    <dxf>
      <fill>
        <patternFill>
          <bgColor rgb="FFFFFFCC"/>
        </patternFill>
      </fill>
    </dxf>
    <dxf>
      <font>
        <strike val="0"/>
      </font>
      <fill>
        <patternFill>
          <bgColor theme="7" tint="0.59996337778862885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strike val="0"/>
      </font>
      <fill>
        <patternFill>
          <bgColor theme="5" tint="0.79998168889431442"/>
        </patternFill>
      </fill>
      <border>
        <left style="thin">
          <color rgb="FFFF7C80"/>
        </left>
        <right style="thin">
          <color rgb="FFFF7C80"/>
        </right>
        <top style="thin">
          <color rgb="FFFF7C80"/>
        </top>
        <bottom style="thin">
          <color rgb="FFFF7C80"/>
        </bottom>
      </border>
    </dxf>
    <dxf>
      <font>
        <b/>
        <i val="0"/>
        <strike val="0"/>
        <color theme="0"/>
      </font>
      <fill>
        <patternFill>
          <bgColor rgb="FFFF5050"/>
        </patternFill>
      </fill>
      <border>
        <left style="thin">
          <color rgb="FFFF5050"/>
        </left>
        <right style="thin">
          <color rgb="FFFF5050"/>
        </right>
        <top style="thin">
          <color rgb="FFFF5050"/>
        </top>
        <bottom style="thin">
          <color rgb="FFFF5050"/>
        </bottom>
      </border>
    </dxf>
    <dxf>
      <font>
        <b/>
        <i val="0"/>
        <strike val="0"/>
        <color rgb="FF006600"/>
      </font>
      <fill>
        <patternFill>
          <bgColor theme="9" tint="0.79998168889431442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ont>
        <b/>
        <i val="0"/>
        <strike val="0"/>
        <color theme="0"/>
      </font>
      <fill>
        <patternFill>
          <bgColor rgb="FFFF5050"/>
        </patternFill>
      </fill>
      <border>
        <left style="thin">
          <color rgb="FFFF5050"/>
        </left>
        <right style="thin">
          <color rgb="FFFF5050"/>
        </right>
        <top style="thin">
          <color rgb="FFFF5050"/>
        </top>
        <bottom style="thin">
          <color rgb="FFFF5050"/>
        </bottom>
      </border>
    </dxf>
    <dxf>
      <font>
        <strike val="0"/>
      </font>
      <fill>
        <patternFill>
          <bgColor theme="7" tint="0.59996337778862885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ill>
        <patternFill>
          <bgColor rgb="FFFFFFCC"/>
        </patternFill>
      </fill>
      <border>
        <left style="thin">
          <color theme="7" tint="0.39994506668294322"/>
        </left>
        <right style="thin">
          <color theme="7" tint="0.39994506668294322"/>
        </right>
        <top style="thin">
          <color theme="7" tint="0.39994506668294322"/>
        </top>
        <bottom style="thin">
          <color theme="7" tint="0.39994506668294322"/>
        </bottom>
        <vertical/>
        <horizontal/>
      </border>
    </dxf>
    <dxf>
      <font>
        <strike val="0"/>
      </font>
      <fill>
        <patternFill>
          <bgColor theme="7" tint="0.59996337778862885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strike val="0"/>
      </font>
      <fill>
        <patternFill>
          <bgColor theme="5" tint="0.79998168889431442"/>
        </patternFill>
      </fill>
      <border>
        <left style="thin">
          <color rgb="FFFF7C80"/>
        </left>
        <right style="thin">
          <color rgb="FFFF7C80"/>
        </right>
        <top style="thin">
          <color rgb="FFFF7C80"/>
        </top>
        <bottom style="thin">
          <color rgb="FFFF7C80"/>
        </bottom>
      </border>
    </dxf>
    <dxf>
      <font>
        <b/>
        <i val="0"/>
        <strike val="0"/>
        <color theme="0"/>
      </font>
      <fill>
        <patternFill>
          <bgColor rgb="FFFF5050"/>
        </patternFill>
      </fill>
      <border>
        <left style="thin">
          <color rgb="FFFF5050"/>
        </left>
        <right style="thin">
          <color rgb="FFFF5050"/>
        </right>
        <top style="thin">
          <color rgb="FFFF5050"/>
        </top>
        <bottom style="thin">
          <color rgb="FFFF5050"/>
        </bottom>
      </border>
    </dxf>
    <dxf>
      <font>
        <strike val="0"/>
      </font>
      <fill>
        <patternFill>
          <bgColor theme="7" tint="0.59996337778862885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ill>
        <patternFill>
          <bgColor rgb="FFFFFFCC"/>
        </patternFill>
      </fill>
      <border>
        <left style="thin">
          <color theme="7" tint="0.39994506668294322"/>
        </left>
        <right style="thin">
          <color theme="7" tint="0.39994506668294322"/>
        </right>
        <top style="thin">
          <color theme="7" tint="0.39994506668294322"/>
        </top>
        <bottom style="thin">
          <color theme="7" tint="0.39994506668294322"/>
        </bottom>
        <vertical/>
        <horizontal/>
      </border>
    </dxf>
    <dxf>
      <font>
        <strike val="0"/>
      </font>
      <fill>
        <patternFill>
          <bgColor theme="7" tint="0.59996337778862885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strike val="0"/>
      </font>
      <fill>
        <patternFill>
          <bgColor theme="5" tint="0.79998168889431442"/>
        </patternFill>
      </fill>
      <border>
        <left style="thin">
          <color rgb="FFFF7C80"/>
        </left>
        <right style="thin">
          <color rgb="FFFF7C80"/>
        </right>
        <top style="thin">
          <color rgb="FFFF7C80"/>
        </top>
        <bottom style="thin">
          <color rgb="FFFF7C80"/>
        </bottom>
      </border>
    </dxf>
    <dxf>
      <font>
        <b/>
        <i val="0"/>
        <strike val="0"/>
        <color theme="0"/>
      </font>
      <fill>
        <patternFill>
          <bgColor rgb="FFFF5050"/>
        </patternFill>
      </fill>
      <border>
        <left style="thin">
          <color rgb="FFFF5050"/>
        </left>
        <right style="thin">
          <color rgb="FFFF5050"/>
        </right>
        <top style="thin">
          <color rgb="FFFF5050"/>
        </top>
        <bottom style="thin">
          <color rgb="FFFF5050"/>
        </bottom>
      </border>
    </dxf>
    <dxf>
      <font>
        <b/>
        <i val="0"/>
        <strike val="0"/>
        <color rgb="FF006600"/>
      </font>
      <fill>
        <patternFill>
          <bgColor theme="9" tint="0.79998168889431442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ont>
        <b/>
        <i val="0"/>
        <strike val="0"/>
        <color theme="0"/>
      </font>
      <fill>
        <patternFill>
          <bgColor rgb="FFFF5050"/>
        </patternFill>
      </fill>
      <border>
        <left style="thin">
          <color rgb="FFFF5050"/>
        </left>
        <right style="thin">
          <color rgb="FFFF5050"/>
        </right>
        <top style="thin">
          <color rgb="FFFF5050"/>
        </top>
        <bottom style="thin">
          <color rgb="FFFF5050"/>
        </bottom>
      </border>
    </dxf>
    <dxf>
      <font>
        <strike val="0"/>
      </font>
      <fill>
        <patternFill>
          <bgColor theme="7" tint="0.59996337778862885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strike val="0"/>
      </font>
      <fill>
        <patternFill>
          <bgColor theme="7" tint="0.59996337778862885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ill>
        <patternFill>
          <bgColor rgb="FFFFFFCC"/>
        </patternFill>
      </fill>
      <border>
        <left style="thin">
          <color theme="7" tint="0.39994506668294322"/>
        </left>
        <right style="thin">
          <color theme="7" tint="0.39994506668294322"/>
        </right>
        <top style="thin">
          <color theme="7" tint="0.39994506668294322"/>
        </top>
        <bottom style="thin">
          <color theme="7" tint="0.39994506668294322"/>
        </bottom>
        <vertical/>
        <horizontal/>
      </border>
    </dxf>
  </dxfs>
  <tableStyles count="0" defaultTableStyle="TableStyleMedium2" defaultPivotStyle="PivotStyleLight16"/>
  <colors>
    <mruColors>
      <color rgb="FF006600"/>
      <color rgb="FFFFFF66"/>
      <color rgb="FFCC0000"/>
      <color rgb="FFFFC000"/>
      <color rgb="FFFF9900"/>
      <color rgb="FFFFFFCC"/>
      <color rgb="FFFF7C80"/>
      <color rgb="FFFF505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28575</xdr:rowOff>
    </xdr:from>
    <xdr:to>
      <xdr:col>3</xdr:col>
      <xdr:colOff>295841</xdr:colOff>
      <xdr:row>2</xdr:row>
      <xdr:rowOff>187575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951BB4B-091B-41F8-AADD-C08E2516C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19075"/>
          <a:ext cx="3462904" cy="5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1181101</xdr:colOff>
      <xdr:row>0</xdr:row>
      <xdr:rowOff>0</xdr:rowOff>
    </xdr:from>
    <xdr:to>
      <xdr:col>3</xdr:col>
      <xdr:colOff>1948748</xdr:colOff>
      <xdr:row>3</xdr:row>
      <xdr:rowOff>138000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E40B45E-83CB-4F1A-9189-BD84A93C9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91026" y="0"/>
          <a:ext cx="767647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05D0D-5C1F-45DE-A5A5-E94878EE79E6}">
  <dimension ref="B2:B38"/>
  <sheetViews>
    <sheetView tabSelected="1" workbookViewId="0">
      <selection activeCell="B38" sqref="B38"/>
    </sheetView>
  </sheetViews>
  <sheetFormatPr defaultRowHeight="15" x14ac:dyDescent="0.25"/>
  <cols>
    <col min="1" max="16384" width="9.140625" style="1"/>
  </cols>
  <sheetData>
    <row r="2" spans="2:2" ht="18.75" x14ac:dyDescent="0.3">
      <c r="B2" s="146" t="s">
        <v>472</v>
      </c>
    </row>
    <row r="4" spans="2:2" x14ac:dyDescent="0.25">
      <c r="B4" s="1" t="s">
        <v>473</v>
      </c>
    </row>
    <row r="6" spans="2:2" x14ac:dyDescent="0.25">
      <c r="B6" s="1" t="s">
        <v>474</v>
      </c>
    </row>
    <row r="8" spans="2:2" x14ac:dyDescent="0.25">
      <c r="B8" s="1" t="s">
        <v>475</v>
      </c>
    </row>
    <row r="10" spans="2:2" x14ac:dyDescent="0.25">
      <c r="B10" s="1" t="s">
        <v>476</v>
      </c>
    </row>
    <row r="11" spans="2:2" x14ac:dyDescent="0.25">
      <c r="B11" s="1" t="s">
        <v>477</v>
      </c>
    </row>
    <row r="12" spans="2:2" x14ac:dyDescent="0.25">
      <c r="B12" s="1" t="s">
        <v>478</v>
      </c>
    </row>
    <row r="13" spans="2:2" x14ac:dyDescent="0.25">
      <c r="B13" s="1" t="s">
        <v>479</v>
      </c>
    </row>
    <row r="14" spans="2:2" x14ac:dyDescent="0.25">
      <c r="B14" s="1" t="s">
        <v>480</v>
      </c>
    </row>
    <row r="15" spans="2:2" x14ac:dyDescent="0.25">
      <c r="B15" s="1" t="s">
        <v>481</v>
      </c>
    </row>
    <row r="16" spans="2:2" x14ac:dyDescent="0.25">
      <c r="B16" s="1" t="s">
        <v>482</v>
      </c>
    </row>
    <row r="17" spans="2:2" x14ac:dyDescent="0.25">
      <c r="B17" s="1" t="s">
        <v>483</v>
      </c>
    </row>
    <row r="19" spans="2:2" x14ac:dyDescent="0.25">
      <c r="B19" s="1" t="s">
        <v>484</v>
      </c>
    </row>
    <row r="20" spans="2:2" x14ac:dyDescent="0.25">
      <c r="B20" s="1" t="s">
        <v>485</v>
      </c>
    </row>
    <row r="21" spans="2:2" x14ac:dyDescent="0.25">
      <c r="B21" s="1" t="s">
        <v>486</v>
      </c>
    </row>
    <row r="22" spans="2:2" x14ac:dyDescent="0.25">
      <c r="B22" s="1" t="s">
        <v>487</v>
      </c>
    </row>
    <row r="23" spans="2:2" x14ac:dyDescent="0.25">
      <c r="B23" s="1" t="s">
        <v>488</v>
      </c>
    </row>
    <row r="24" spans="2:2" x14ac:dyDescent="0.25">
      <c r="B24" s="1" t="s">
        <v>489</v>
      </c>
    </row>
    <row r="25" spans="2:2" x14ac:dyDescent="0.25">
      <c r="B25" s="1" t="s">
        <v>490</v>
      </c>
    </row>
    <row r="26" spans="2:2" x14ac:dyDescent="0.25">
      <c r="B26" s="1" t="s">
        <v>491</v>
      </c>
    </row>
    <row r="27" spans="2:2" x14ac:dyDescent="0.25">
      <c r="B27" s="1" t="s">
        <v>492</v>
      </c>
    </row>
    <row r="28" spans="2:2" x14ac:dyDescent="0.25">
      <c r="B28" s="1" t="s">
        <v>493</v>
      </c>
    </row>
    <row r="30" spans="2:2" x14ac:dyDescent="0.25">
      <c r="B30" s="1" t="s">
        <v>494</v>
      </c>
    </row>
    <row r="32" spans="2:2" x14ac:dyDescent="0.25">
      <c r="B32" s="1" t="s">
        <v>495</v>
      </c>
    </row>
    <row r="34" spans="2:2" x14ac:dyDescent="0.25">
      <c r="B34" s="1" t="s">
        <v>496</v>
      </c>
    </row>
    <row r="36" spans="2:2" x14ac:dyDescent="0.25">
      <c r="B36" s="1" t="s">
        <v>497</v>
      </c>
    </row>
    <row r="38" spans="2:2" ht="21" x14ac:dyDescent="0.35">
      <c r="B38" s="147" t="s">
        <v>498</v>
      </c>
    </row>
  </sheetData>
  <sheetProtection algorithmName="SHA-512" hashValue="nXMJrsj5/FEKGRJGVKL3J0sU/sZJk0s31lYwWiJ1GueHDpOr5incFlsF06b+WrlIV17oyAy5rEmgB8gpjOuOHA==" saltValue="8mF0T12+nuIyrFCn+4jzfA==" spinCount="100000" sheet="1" objects="1" scenarios="1" selectLockedCells="1"/>
  <hyperlinks>
    <hyperlink ref="B38" location="ROZCESTNIK!A1" display="Vstup na kalkulačku" xr:uid="{EAE27499-CA9F-4BDC-90DE-F21A23B34E53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AF7DF-15B9-4283-8715-26DA36A86BFB}">
  <sheetPr codeName="List22"/>
  <dimension ref="B1:N44"/>
  <sheetViews>
    <sheetView zoomScaleNormal="100" workbookViewId="0"/>
  </sheetViews>
  <sheetFormatPr defaultRowHeight="15" x14ac:dyDescent="0.25"/>
  <cols>
    <col min="1" max="2" width="1.7109375" style="57" customWidth="1"/>
    <col min="3" max="3" width="46.5703125" style="57" bestFit="1" customWidth="1"/>
    <col min="4" max="4" width="50.7109375" style="57" customWidth="1"/>
    <col min="5" max="5" width="3.7109375" style="57" customWidth="1"/>
    <col min="6" max="6" width="16.7109375" style="57" customWidth="1"/>
    <col min="7" max="8" width="12.7109375" style="57" customWidth="1"/>
    <col min="9" max="9" width="16.7109375" style="57" customWidth="1"/>
    <col min="10" max="11" width="1.7109375" style="57" customWidth="1"/>
    <col min="12" max="12" width="16.7109375" style="57" customWidth="1"/>
    <col min="13" max="13" width="1.7109375" style="57" customWidth="1"/>
    <col min="14" max="16384" width="9.140625" style="57"/>
  </cols>
  <sheetData>
    <row r="1" spans="2:14" ht="15" customHeight="1" x14ac:dyDescent="0.25"/>
    <row r="2" spans="2:14" ht="30" customHeight="1" x14ac:dyDescent="0.25">
      <c r="F2" s="58" t="s">
        <v>400</v>
      </c>
      <c r="I2" s="58" t="s">
        <v>403</v>
      </c>
    </row>
    <row r="3" spans="2:14" ht="15" customHeight="1" x14ac:dyDescent="0.25">
      <c r="F3" s="52" t="s">
        <v>404</v>
      </c>
      <c r="I3" s="100">
        <v>26.5</v>
      </c>
    </row>
    <row r="5" spans="2:14" ht="45" customHeight="1" x14ac:dyDescent="0.25">
      <c r="B5" s="59"/>
      <c r="C5" s="60" t="s">
        <v>0</v>
      </c>
      <c r="D5" s="60" t="s">
        <v>1</v>
      </c>
      <c r="E5" s="60"/>
      <c r="F5" s="60" t="s">
        <v>2</v>
      </c>
      <c r="G5" s="60" t="s">
        <v>3</v>
      </c>
      <c r="H5" s="60" t="s">
        <v>4</v>
      </c>
      <c r="I5" s="60" t="s">
        <v>5</v>
      </c>
      <c r="J5" s="61"/>
    </row>
    <row r="6" spans="2:14" ht="6" customHeight="1" x14ac:dyDescent="0.25">
      <c r="B6" s="62"/>
      <c r="C6" s="63"/>
      <c r="D6" s="63"/>
      <c r="E6" s="63"/>
      <c r="F6" s="63"/>
      <c r="G6" s="63"/>
      <c r="H6" s="63"/>
      <c r="I6" s="63"/>
      <c r="J6" s="64"/>
    </row>
    <row r="7" spans="2:14" x14ac:dyDescent="0.25">
      <c r="B7" s="62"/>
      <c r="C7" s="101" t="s">
        <v>6</v>
      </c>
      <c r="D7" s="65"/>
      <c r="E7" s="65"/>
      <c r="F7" s="66" t="str">
        <f>IF(MS!$J$5="ne",IF(SAPS!$H$5= "–","nevyplněno",SAPS!$H$5),"bez nároku")</f>
        <v>nevyplněno</v>
      </c>
      <c r="G7" s="67">
        <f>COUNTA(SAPS!$C$5)</f>
        <v>1</v>
      </c>
      <c r="H7" s="67">
        <f>COUNTIF(SAPS!$D$5,"&gt;0")</f>
        <v>0</v>
      </c>
      <c r="I7" s="66" t="str">
        <f>IF($G7=1,"nemá více titulů")</f>
        <v>nemá více titulů</v>
      </c>
      <c r="J7" s="68"/>
    </row>
    <row r="8" spans="2:14" x14ac:dyDescent="0.25">
      <c r="B8" s="62"/>
      <c r="C8" s="101" t="s">
        <v>7</v>
      </c>
      <c r="D8" s="69"/>
      <c r="E8" s="69"/>
      <c r="F8" s="66" t="str">
        <f>IF(MS!$J$5="ne",IF(SAPS!$H$5="–","nevyplněno",IF(RP!$H$5= "–","bez nároku",RP!$H$5)),"bez nároku")</f>
        <v>nevyplněno</v>
      </c>
      <c r="G8" s="67">
        <f ca="1">COUNTA(RP_pasmo_zdroj)</f>
        <v>1</v>
      </c>
      <c r="H8" s="67" cm="1">
        <f t="array" aca="1" ref="H8" ca="1">COUNTIF(RP_plocha_zdroj,"&gt;0")</f>
        <v>0</v>
      </c>
      <c r="I8" s="66" t="str">
        <f ca="1">IF($G8=1,"nemá více titulů")</f>
        <v>nemá více titulů</v>
      </c>
      <c r="J8" s="68"/>
      <c r="L8" s="70" t="s">
        <v>471</v>
      </c>
      <c r="N8" s="71" t="s">
        <v>9</v>
      </c>
    </row>
    <row r="9" spans="2:14" x14ac:dyDescent="0.25">
      <c r="B9" s="62"/>
      <c r="C9" s="102" t="s">
        <v>8</v>
      </c>
      <c r="D9" s="103"/>
      <c r="E9" s="72" t="s">
        <v>471</v>
      </c>
      <c r="F9" s="66" t="str">
        <f ca="1">IF(MS!$J$5="ne",IF(EKOSCHEMA!$J$5= "–","nevyplněno",EKOSCHEMA!$J$5),"bez nároku")</f>
        <v>nevyplněno</v>
      </c>
      <c r="G9" s="67">
        <f ca="1">COUNTA(EKOSCHEMA_titul_zdroj)</f>
        <v>11</v>
      </c>
      <c r="H9" s="67" cm="1">
        <f t="array" aca="1" ref="H9" ca="1">COUNTIF(Ekoschema_plocha_zdroj,"&gt;0")</f>
        <v>0</v>
      </c>
      <c r="I9" s="66" t="str" cm="1">
        <f t="array" aca="1" ref="I9" ca="1">IF(MS!$J$5="ne",_xlfn.IFNA((IF(INDEX(EKOSCHEMA_dotace_zdroj,MATCH(ROZCESTNIK!$D9,EKOSCHEMA_titul_zdroj,0))="–","nevyplněno",INDEX(EKOSCHEMA_dotace_zdroj,MATCH(ROZCESTNIK!$D9,EKOSCHEMA_titul_zdroj,0)))),"–"),"bez nároku")</f>
        <v>–</v>
      </c>
      <c r="J9" s="68"/>
    </row>
    <row r="10" spans="2:14" x14ac:dyDescent="0.25">
      <c r="B10" s="62"/>
      <c r="C10" s="102" t="s">
        <v>10</v>
      </c>
      <c r="D10" s="69"/>
      <c r="E10" s="69"/>
      <c r="F10" s="66" t="str">
        <f>IF(MS!$J$5="ne",IF(SAPS!$H$5="–","nevyplněno",IF(MLZ!$J$5= "ne","nežádá",MLZ!$H$5)),"bez nároku")</f>
        <v>nevyplněno</v>
      </c>
      <c r="G10" s="67">
        <f>COUNTA(MLZ!$C$5)</f>
        <v>1</v>
      </c>
      <c r="H10" s="67">
        <f>COUNTIF(SAPS!$D$5,"&gt;0")</f>
        <v>0</v>
      </c>
      <c r="I10" s="66" t="str">
        <f>IF($G10=1,"nemá více titulů")</f>
        <v>nemá více titulů</v>
      </c>
      <c r="J10" s="68"/>
      <c r="L10" s="73"/>
      <c r="N10" s="71" t="s">
        <v>382</v>
      </c>
    </row>
    <row r="11" spans="2:14" x14ac:dyDescent="0.25">
      <c r="B11" s="62"/>
      <c r="C11" s="102" t="s">
        <v>11</v>
      </c>
      <c r="D11" s="104"/>
      <c r="E11" s="72" t="s">
        <v>471</v>
      </c>
      <c r="F11" s="66" t="str">
        <f ca="1">IF(MS!$J$5="ne",IF(VCS!$J$5= "–","nevyplněno",VCS!$J$5),"bez nároku")</f>
        <v>nevyplněno</v>
      </c>
      <c r="G11" s="67">
        <f ca="1">COUNTA(VCS_titul_zdroj)</f>
        <v>11</v>
      </c>
      <c r="H11" s="67" cm="1">
        <f t="array" aca="1" ref="H11" ca="1">COUNTIF(VCS_plocha_zdroj,"&gt;0")</f>
        <v>0</v>
      </c>
      <c r="I11" s="66" t="str" cm="1">
        <f t="array" aca="1" ref="I11" ca="1">IF(MS!$J$5="ne",_xlfn.IFNA((IF(INDEX(VCS_dotace_zdroj,MATCH(ROZCESTNIK!$D11,VCS_titul_zdroj,0))="–","nevyplněno",INDEX(VCS_dotace_zdroj,MATCH(ROZCESTNIK!$D11,VCS_titul_zdroj,0)))),"–"),"bez nároku")</f>
        <v>–</v>
      </c>
      <c r="J11" s="68"/>
    </row>
    <row r="12" spans="2:14" x14ac:dyDescent="0.25">
      <c r="B12" s="62"/>
      <c r="C12" s="102" t="s">
        <v>370</v>
      </c>
      <c r="D12" s="69"/>
      <c r="E12" s="69"/>
      <c r="F12" s="66" t="str">
        <f>IF(MS!$J$5="ano",IF(MS!$H$5="–","bez nároku",MS!$H$5),"nežádá")</f>
        <v>nežádá</v>
      </c>
      <c r="G12" s="67">
        <f>COUNTA(MS!$C$5)</f>
        <v>1</v>
      </c>
      <c r="H12" s="67">
        <f>H7</f>
        <v>0</v>
      </c>
      <c r="I12" s="66" t="str">
        <f>IF($G12=1,"nemá více titulů")</f>
        <v>nemá více titulů</v>
      </c>
      <c r="J12" s="68"/>
      <c r="L12" s="74"/>
      <c r="N12" s="71" t="s">
        <v>13</v>
      </c>
    </row>
    <row r="13" spans="2:14" ht="6" customHeight="1" x14ac:dyDescent="0.25">
      <c r="B13" s="75"/>
      <c r="C13" s="76"/>
      <c r="D13" s="77"/>
      <c r="E13" s="77"/>
      <c r="F13" s="78"/>
      <c r="G13" s="79"/>
      <c r="H13" s="80"/>
      <c r="I13" s="81"/>
      <c r="J13" s="82"/>
    </row>
    <row r="14" spans="2:14" ht="6" customHeight="1" x14ac:dyDescent="0.25">
      <c r="B14" s="83"/>
      <c r="C14" s="84"/>
      <c r="D14" s="85"/>
      <c r="E14" s="85"/>
      <c r="F14" s="86"/>
      <c r="G14" s="87"/>
      <c r="H14" s="87"/>
      <c r="I14" s="86"/>
      <c r="J14" s="83"/>
    </row>
    <row r="15" spans="2:14" ht="6" customHeight="1" x14ac:dyDescent="0.25">
      <c r="B15" s="88"/>
      <c r="C15" s="89"/>
      <c r="D15" s="90"/>
      <c r="E15" s="90"/>
      <c r="F15" s="91"/>
      <c r="G15" s="92"/>
      <c r="H15" s="92"/>
      <c r="I15" s="91"/>
      <c r="J15" s="93"/>
    </row>
    <row r="16" spans="2:14" x14ac:dyDescent="0.25">
      <c r="B16" s="62"/>
      <c r="C16" s="94" t="s">
        <v>398</v>
      </c>
      <c r="D16" s="69"/>
      <c r="E16" s="69"/>
      <c r="F16" s="66" t="str">
        <f ca="1">IF(SUM($F$7:$F$12)=0,"nevyplněno",SUM($F$7:$F$12))</f>
        <v>nevyplněno</v>
      </c>
      <c r="G16" s="67">
        <f ca="1">SUM($G$7:$G$12)</f>
        <v>26</v>
      </c>
      <c r="H16" s="67">
        <f ca="1">SUM($H$7:$H$12)</f>
        <v>0</v>
      </c>
      <c r="I16" s="66"/>
      <c r="J16" s="68"/>
    </row>
    <row r="17" spans="2:10" ht="6" customHeight="1" x14ac:dyDescent="0.25">
      <c r="B17" s="75"/>
      <c r="C17" s="76"/>
      <c r="D17" s="77"/>
      <c r="E17" s="77"/>
      <c r="F17" s="81"/>
      <c r="G17" s="79"/>
      <c r="H17" s="79"/>
      <c r="I17" s="81"/>
      <c r="J17" s="82"/>
    </row>
    <row r="18" spans="2:10" ht="6" customHeight="1" x14ac:dyDescent="0.25">
      <c r="B18" s="83"/>
      <c r="C18" s="84"/>
      <c r="D18" s="85"/>
      <c r="E18" s="85"/>
      <c r="F18" s="86"/>
      <c r="G18" s="87"/>
      <c r="H18" s="87"/>
      <c r="I18" s="86"/>
      <c r="J18" s="83"/>
    </row>
    <row r="19" spans="2:10" ht="6" customHeight="1" x14ac:dyDescent="0.25">
      <c r="B19" s="88"/>
      <c r="C19" s="89"/>
      <c r="D19" s="90"/>
      <c r="E19" s="90"/>
      <c r="F19" s="91"/>
      <c r="G19" s="92"/>
      <c r="H19" s="92"/>
      <c r="I19" s="91"/>
      <c r="J19" s="93"/>
    </row>
    <row r="20" spans="2:10" x14ac:dyDescent="0.25">
      <c r="B20" s="62"/>
      <c r="C20" s="102" t="str">
        <f>CONCATENATE("ANC"," - ",ANC!$O$5)</f>
        <v>ANC - živočišná výroba</v>
      </c>
      <c r="D20" s="104"/>
      <c r="E20" s="72" t="s">
        <v>471</v>
      </c>
      <c r="F20" s="66" t="str">
        <f ca="1">IF(ANC!$K$5= "–","nevyplněno",ANC!$K$5)</f>
        <v>nevyplněno</v>
      </c>
      <c r="G20" s="67">
        <f ca="1">COUNTA(ANC_titul_zdroj)</f>
        <v>9</v>
      </c>
      <c r="H20" s="67" cm="1">
        <f t="array" aca="1" ref="H20" ca="1">COUNTIF(ANC_plocha_zdroj,"&gt;0")</f>
        <v>0</v>
      </c>
      <c r="I20" s="66" t="str" cm="1">
        <f t="array" aca="1" ref="I20" ca="1">_xlfn.IFNA((IF(INDEX(ANC_dotace_zdroj,MATCH(ROZCESTNIK!$D20,ANC_titul_zdroj,0))="–","nevyplněno",INDEX(ANC_dotace_zdroj,MATCH(ROZCESTNIK!$D20,ANC_titul_zdroj,0)))),"–")</f>
        <v>–</v>
      </c>
      <c r="J20" s="68"/>
    </row>
    <row r="21" spans="2:10" x14ac:dyDescent="0.25">
      <c r="B21" s="62"/>
      <c r="C21" s="102" t="s">
        <v>12</v>
      </c>
      <c r="D21" s="104"/>
      <c r="E21" s="72" t="s">
        <v>471</v>
      </c>
      <c r="F21" s="66" t="str">
        <f ca="1">IF(AEKO_ZATR!$J$5= "–","nevyplněno",AEKO_ZATR!$J$5)</f>
        <v>nevyplněno</v>
      </c>
      <c r="G21" s="67">
        <f ca="1">COUNTA(AEKO_ZATR_titul_zdroj)</f>
        <v>10</v>
      </c>
      <c r="H21" s="67" cm="1">
        <f t="array" aca="1" ref="H21" ca="1">COUNTIF(AEKO_ZATR_plocha_zdroj,"&gt;0")</f>
        <v>0</v>
      </c>
      <c r="I21" s="66" t="str" cm="1">
        <f t="array" aca="1" ref="I21" ca="1">_xlfn.IFNA((IF(INDEX(AEKO_ZATR_dotace_zdroj,MATCH(ROZCESTNIK!$D21,AEKO_ZATR_titul_zdroj,0))="–","nevyplněno",INDEX(AEKO_ZATR_dotace_zdroj,MATCH(ROZCESTNIK!$D21,AEKO_ZATR_titul_zdroj,0)))),"–")</f>
        <v>–</v>
      </c>
      <c r="J21" s="68"/>
    </row>
    <row r="22" spans="2:10" x14ac:dyDescent="0.25">
      <c r="B22" s="62"/>
      <c r="C22" s="102" t="s">
        <v>14</v>
      </c>
      <c r="D22" s="104"/>
      <c r="E22" s="72" t="s">
        <v>471</v>
      </c>
      <c r="F22" s="66" t="str">
        <f ca="1">IF(AEKO_MEZIP!$J$5= "–","nevyplněno",AEKO_MEZIP!$J$5)</f>
        <v>nevyplněno</v>
      </c>
      <c r="G22" s="67">
        <f ca="1">COUNTA(AEKO_MEZIP_titul_zdroj)</f>
        <v>2</v>
      </c>
      <c r="H22" s="67" cm="1">
        <f t="array" aca="1" ref="H22" ca="1">COUNTIF(AEKO_MEZIP_plocha_zdroj,"&gt;0")</f>
        <v>0</v>
      </c>
      <c r="I22" s="66" t="str" cm="1">
        <f t="array" aca="1" ref="I22" ca="1">_xlfn.IFNA((IF(INDEX(AEKO_MEZIP_dotace_zdroj,MATCH(ROZCESTNIK!$D22,AEKO_MEZIP_titul_zdroj,0))="–","nevyplněno",INDEX(AEKO_MEZIP_dotace_zdroj,MATCH(ROZCESTNIK!$D22,AEKO_MEZIP_titul_zdroj,0)))),"–")</f>
        <v>–</v>
      </c>
      <c r="J22" s="68"/>
    </row>
    <row r="23" spans="2:10" x14ac:dyDescent="0.25">
      <c r="B23" s="62"/>
      <c r="C23" s="102" t="s">
        <v>464</v>
      </c>
      <c r="D23" s="104"/>
      <c r="E23" s="72" t="s">
        <v>471</v>
      </c>
      <c r="F23" s="66" t="str">
        <f ca="1">IF(AEKO_OTP!$J$5= "–","nevyplněno",AEKO_OTP!$J$5)</f>
        <v>nevyplněno</v>
      </c>
      <c r="G23" s="67">
        <f ca="1">COUNTA(AEKO_OTP_titul_zdroj)</f>
        <v>24</v>
      </c>
      <c r="H23" s="67" cm="1">
        <f t="array" aca="1" ref="H23" ca="1">COUNTIF(AEKO_OTP_plocha_zdroj,"&gt;0")</f>
        <v>0</v>
      </c>
      <c r="I23" s="66" t="str" cm="1">
        <f t="array" aca="1" ref="I23" ca="1">_xlfn.IFNA((IF(INDEX(AEKO_OTP_dotace_zdroj,MATCH(ROZCESTNIK!$D23,AEKO_OTP_titul_zdroj,0))="–","nevyplněno",INDEX(AEKO_OTP_dotace_zdroj,MATCH(ROZCESTNIK!$D23,AEKO_OTP_titul_zdroj,0)))),"–")</f>
        <v>–</v>
      </c>
      <c r="J23" s="68"/>
    </row>
    <row r="24" spans="2:10" x14ac:dyDescent="0.25">
      <c r="B24" s="62"/>
      <c r="C24" s="102" t="s">
        <v>15</v>
      </c>
      <c r="D24" s="104"/>
      <c r="E24" s="72" t="s">
        <v>471</v>
      </c>
      <c r="F24" s="66" t="str">
        <f ca="1">IF(AEKO_BIODIV!$J$5= "–","nevyplněno",AEKO_BIODIV!$J$5)</f>
        <v>nevyplněno</v>
      </c>
      <c r="G24" s="67">
        <f ca="1">COUNTA(AEKO_BIODIV_titul_zdroj)</f>
        <v>5</v>
      </c>
      <c r="H24" s="67" cm="1">
        <f t="array" aca="1" ref="H24" ca="1">COUNTIF(AEKO_BIODIV_plocha_zdroj,"&gt;0")</f>
        <v>0</v>
      </c>
      <c r="I24" s="66" t="str" cm="1">
        <f t="array" aca="1" ref="I24" ca="1">_xlfn.IFNA((IF(INDEX(AEKO_BIODIV_dotace_zdroj,MATCH(ROZCESTNIK!$D24,AEKO_BIODIV_titul_zdroj,0))="–","nevyplněno",INDEX(AEKO_BIODIV_dotace_zdroj,MATCH(ROZCESTNIK!$D24,AEKO_BIODIV_titul_zdroj,0)))),"–")</f>
        <v>–</v>
      </c>
      <c r="J24" s="68"/>
    </row>
    <row r="25" spans="2:10" x14ac:dyDescent="0.25">
      <c r="B25" s="62"/>
      <c r="C25" s="102" t="s">
        <v>16</v>
      </c>
      <c r="D25" s="104"/>
      <c r="E25" s="72" t="s">
        <v>471</v>
      </c>
      <c r="F25" s="66" t="str">
        <f ca="1">IF(AEKO_IP!$J$5= "–","nevyplněno",AEKO_IP!$J$5)</f>
        <v>nevyplněno</v>
      </c>
      <c r="G25" s="67">
        <f ca="1">COUNTA(AEKO_IP_titul_zdroj)</f>
        <v>5</v>
      </c>
      <c r="H25" s="67" cm="1">
        <f t="array" aca="1" ref="H25" ca="1">COUNTIF(AEKO_IP_plocha_zdroj,"&gt;0")</f>
        <v>0</v>
      </c>
      <c r="I25" s="66" t="str" cm="1">
        <f t="array" aca="1" ref="I25" ca="1">_xlfn.IFNA((IF(INDEX(AEKO_IP_dotace_zdroj,MATCH(ROZCESTNIK!$D25,AEKO_IP_titul_zdroj,0))="–","nevyplněno",INDEX(AEKO_IP_dotace_zdroj,MATCH(ROZCESTNIK!$D25,AEKO_IP_titul_zdroj,0)))),"–")</f>
        <v>–</v>
      </c>
      <c r="J25" s="68"/>
    </row>
    <row r="26" spans="2:10" x14ac:dyDescent="0.25">
      <c r="B26" s="62"/>
      <c r="C26" s="102" t="s">
        <v>17</v>
      </c>
      <c r="D26" s="104"/>
      <c r="E26" s="72" t="s">
        <v>471</v>
      </c>
      <c r="F26" s="66" t="str">
        <f ca="1">IF(AEKO_JINE!$J$5= "–","nevyplněno",AEKO_JINE!$J$5)</f>
        <v>nevyplněno</v>
      </c>
      <c r="G26" s="67">
        <f ca="1">COUNTA(AEKO_JINE_titul_zdroj)</f>
        <v>2</v>
      </c>
      <c r="H26" s="67" cm="1">
        <f t="array" aca="1" ref="H26" ca="1">COUNTIF(AEKO_JINE_plocha_zdroj,"&gt;0")</f>
        <v>0</v>
      </c>
      <c r="I26" s="66" t="str" cm="1">
        <f t="array" aca="1" ref="I26" ca="1">_xlfn.IFNA((IF(INDEX(AEKO_JINE_dotace_zdroj,MATCH(ROZCESTNIK!$D26,AEKO_JINE_titul_zdroj,0))="–","nevyplněno",INDEX(AEKO_JINE_dotace_zdroj,MATCH(ROZCESTNIK!$D26,AEKO_JINE_titul_zdroj,0)))),"–")</f>
        <v>–</v>
      </c>
      <c r="J26" s="68"/>
    </row>
    <row r="27" spans="2:10" ht="15" customHeight="1" x14ac:dyDescent="0.25">
      <c r="B27" s="62"/>
      <c r="C27" s="102" t="s">
        <v>465</v>
      </c>
      <c r="D27" s="104"/>
      <c r="E27" s="72" t="s">
        <v>471</v>
      </c>
      <c r="F27" s="66" t="str">
        <f ca="1">IF(EZ_ZAKL!$J$5= "–","nevyplněno",EZ_ZAKL!$J$5)</f>
        <v>nevyplněno</v>
      </c>
      <c r="G27" s="67">
        <f ca="1">COUNTA(EZ_ZAKL_titul_zdroj)</f>
        <v>14</v>
      </c>
      <c r="H27" s="67" cm="1">
        <f t="array" aca="1" ref="H27" ca="1">COUNTIF(EZ_ZAKL_plocha_zdroj,"&gt;0")</f>
        <v>0</v>
      </c>
      <c r="I27" s="66" t="str" cm="1">
        <f t="array" aca="1" ref="I27" ca="1">_xlfn.IFNA((IF(INDEX(EZ_ZAKL_dotace_zdroj,MATCH(ROZCESTNIK!$D27,EZ_ZAKL_titul_zdroj,0))="–","nevyplněno",INDEX(EZ_ZAKL_dotace_zdroj,MATCH(ROZCESTNIK!$D27,EZ_ZAKL_titul_zdroj,0)))),"–")</f>
        <v>–</v>
      </c>
      <c r="J27" s="68"/>
    </row>
    <row r="28" spans="2:10" ht="15" customHeight="1" x14ac:dyDescent="0.25">
      <c r="B28" s="62"/>
      <c r="C28" s="102" t="s">
        <v>18</v>
      </c>
      <c r="D28" s="104"/>
      <c r="E28" s="72" t="s">
        <v>471</v>
      </c>
      <c r="F28" s="66" t="str">
        <f ca="1">IF(NAT_2000!$J$5= "–","nevyplněno",NAT_2000!$J$5)</f>
        <v>nevyplněno</v>
      </c>
      <c r="G28" s="67">
        <f ca="1">COUNTA(NAT_2000_titul_zdroj)</f>
        <v>2</v>
      </c>
      <c r="H28" s="67" cm="1">
        <f t="array" aca="1" ref="H28" ca="1">COUNTIF(NAT_2000_plocha_zdroj,"&gt;0")</f>
        <v>0</v>
      </c>
      <c r="I28" s="66" t="str" cm="1">
        <f t="array" aca="1" ref="I28" ca="1">_xlfn.IFNA((IF(INDEX(NAT_2000_dotace_zdroj,MATCH(ROZCESTNIK!$D28,NAT_2000_titul_zdroj,0))="–","nevyplněno",INDEX(NAT_2000_dotace_zdroj,MATCH(ROZCESTNIK!$D28,NAT_2000_titul_zdroj,0)))),"–")</f>
        <v>–</v>
      </c>
      <c r="J28" s="68"/>
    </row>
    <row r="29" spans="2:10" ht="15" customHeight="1" x14ac:dyDescent="0.25">
      <c r="B29" s="62"/>
      <c r="C29" s="102" t="s">
        <v>19</v>
      </c>
      <c r="D29" s="104"/>
      <c r="E29" s="72" t="s">
        <v>471</v>
      </c>
      <c r="F29" s="66" t="str">
        <f ca="1">IF(DZPZ!$J$5= "–","nevyplněno",DZPZ!$J$5)</f>
        <v>nevyplněno</v>
      </c>
      <c r="G29" s="67">
        <f ca="1">COUNTA(DZPZ_titul_zdroj)</f>
        <v>6</v>
      </c>
      <c r="H29" s="67" cm="1">
        <f t="array" aca="1" ref="H29" ca="1">COUNTIF(DZPZ_plocha_zdroj,"&gt;0")</f>
        <v>0</v>
      </c>
      <c r="I29" s="66" t="str" cm="1">
        <f t="array" aca="1" ref="I29" ca="1">_xlfn.IFNA((IF(INDEX(DZPZ_dotace_zdroj,MATCH(ROZCESTNIK!$D29,DZPZ_titul_zdroj,0))="–","nevyplněno",INDEX(DZPZ_dotace_zdroj,MATCH(ROZCESTNIK!$D29,DZPZ_titul_zdroj,0)))),"–")</f>
        <v>–</v>
      </c>
      <c r="J29" s="68"/>
    </row>
    <row r="30" spans="2:10" ht="15" customHeight="1" x14ac:dyDescent="0.25">
      <c r="B30" s="62"/>
      <c r="C30" s="102" t="s">
        <v>20</v>
      </c>
      <c r="D30" s="104"/>
      <c r="E30" s="72" t="s">
        <v>471</v>
      </c>
      <c r="F30" s="66" t="str">
        <f ca="1">IF(LES_ZALES!$J$5= "–","nevyplněno",LES_ZALES!$J$5)</f>
        <v>nevyplněno</v>
      </c>
      <c r="G30" s="67">
        <f ca="1">COUNTA(LES_ZALES_titul_zdroj)</f>
        <v>5</v>
      </c>
      <c r="H30" s="67" cm="1">
        <f t="array" aca="1" ref="H30" ca="1">COUNTIF(LES_ZALES_plocha_zdroj,"&gt;0")</f>
        <v>0</v>
      </c>
      <c r="I30" s="66" t="str" cm="1">
        <f t="array" aca="1" ref="I30" ca="1">_xlfn.IFNA((IF(INDEX(LES_ZALES_dotace_zdroj,MATCH(ROZCESTNIK!$D30,LES_ZALES_titul_zdroj,0))="–","nevyplněno",INDEX(LES_ZALES_dotace_zdroj,MATCH(ROZCESTNIK!$D30,LES_ZALES_titul_zdroj,0)))),"–")</f>
        <v>–</v>
      </c>
      <c r="J30" s="68"/>
    </row>
    <row r="31" spans="2:10" ht="15" customHeight="1" x14ac:dyDescent="0.25">
      <c r="B31" s="62"/>
      <c r="C31" s="102" t="s">
        <v>466</v>
      </c>
      <c r="D31" s="104"/>
      <c r="E31" s="72" t="s">
        <v>471</v>
      </c>
      <c r="F31" s="66" t="str">
        <f ca="1">IF(LES_AGROLES!$J$5= "–","nevyplněno",LES_AGROLES!$J$5)</f>
        <v>nevyplněno</v>
      </c>
      <c r="G31" s="67">
        <f ca="1">COUNTA(LES_AGROLES_titul_zdroj)</f>
        <v>2</v>
      </c>
      <c r="H31" s="67" cm="1">
        <f t="array" aca="1" ref="H31" ca="1">COUNTIF(LES_AGROLES_plocha_zdroj,"&gt;0")</f>
        <v>0</v>
      </c>
      <c r="I31" s="66" t="str" cm="1">
        <f t="array" aca="1" ref="I31" ca="1">_xlfn.IFNA((IF(INDEX(LES_AGROLES_dotace_zdroj,MATCH(ROZCESTNIK!$D31,LES_AGROLES_titul_zdroj,0))="–","nevyplněno",INDEX(LES_AGROLES_dotace_zdroj,MATCH(ROZCESTNIK!$D31,LES_AGROLES_titul_zdroj,0)))),"–")</f>
        <v>–</v>
      </c>
      <c r="J31" s="68"/>
    </row>
    <row r="32" spans="2:10" ht="15" customHeight="1" x14ac:dyDescent="0.25">
      <c r="B32" s="62"/>
      <c r="C32" s="102" t="s">
        <v>21</v>
      </c>
      <c r="D32" s="104"/>
      <c r="E32" s="72" t="s">
        <v>471</v>
      </c>
      <c r="F32" s="66" t="str">
        <f ca="1">IF(LES_ENVILES!$J$5= "–","nevyplněno",LES_ENVILES!$J$5)</f>
        <v>nevyplněno</v>
      </c>
      <c r="G32" s="67">
        <f ca="1">COUNTA(LES_ENVILES_titul_zdroj)</f>
        <v>3</v>
      </c>
      <c r="H32" s="67" cm="1">
        <f t="array" aca="1" ref="H32" ca="1">COUNTIF(LES_ENVILES_plocha_zdroj,"&gt;0")</f>
        <v>0</v>
      </c>
      <c r="I32" s="66" t="str" cm="1">
        <f t="array" aca="1" ref="I32" ca="1">_xlfn.IFNA((IF(INDEX(LES_ENVILES_dotace_zdroj,MATCH(ROZCESTNIK!$D32,LES_ENVILES_titul_zdroj,0))="–","nevyplněno",INDEX(LES_ENVILES_dotace_zdroj,MATCH(ROZCESTNIK!$D32,LES_ENVILES_titul_zdroj,0)))),"–")</f>
        <v>–</v>
      </c>
      <c r="J32" s="68"/>
    </row>
    <row r="33" spans="2:10" ht="6" customHeight="1" x14ac:dyDescent="0.25">
      <c r="B33" s="75"/>
      <c r="C33" s="95"/>
      <c r="D33" s="95"/>
      <c r="E33" s="95"/>
      <c r="F33" s="95"/>
      <c r="G33" s="95"/>
      <c r="H33" s="95"/>
      <c r="I33" s="95"/>
      <c r="J33" s="82"/>
    </row>
    <row r="34" spans="2:10" ht="6" customHeight="1" x14ac:dyDescent="0.25">
      <c r="B34" s="96"/>
      <c r="C34" s="96"/>
      <c r="D34" s="96"/>
      <c r="E34" s="96"/>
      <c r="F34" s="96"/>
      <c r="G34" s="96"/>
      <c r="H34" s="96"/>
      <c r="I34" s="96"/>
      <c r="J34" s="96"/>
    </row>
    <row r="35" spans="2:10" ht="6" customHeight="1" x14ac:dyDescent="0.25">
      <c r="B35" s="88"/>
      <c r="C35" s="97"/>
      <c r="D35" s="97"/>
      <c r="E35" s="97"/>
      <c r="F35" s="97"/>
      <c r="G35" s="97"/>
      <c r="H35" s="97"/>
      <c r="I35" s="97"/>
      <c r="J35" s="93"/>
    </row>
    <row r="36" spans="2:10" ht="15" customHeight="1" x14ac:dyDescent="0.25">
      <c r="B36" s="62"/>
      <c r="C36" s="98" t="s">
        <v>399</v>
      </c>
      <c r="D36" s="99"/>
      <c r="E36" s="99"/>
      <c r="F36" s="66" t="str">
        <f ca="1">IF(SUM($F$20:$F$32)=0,"nevyplněno",SUM($F$20:$F$32))</f>
        <v>nevyplněno</v>
      </c>
      <c r="G36" s="67">
        <f ca="1">SUM($G$20:$G$32)</f>
        <v>89</v>
      </c>
      <c r="H36" s="67">
        <f ca="1">SUM($H$20:$H$32)</f>
        <v>0</v>
      </c>
      <c r="I36" s="99"/>
      <c r="J36" s="68"/>
    </row>
    <row r="37" spans="2:10" ht="6" customHeight="1" x14ac:dyDescent="0.25">
      <c r="B37" s="75"/>
      <c r="C37" s="95"/>
      <c r="D37" s="95"/>
      <c r="E37" s="95"/>
      <c r="F37" s="95"/>
      <c r="G37" s="95"/>
      <c r="H37" s="95"/>
      <c r="I37" s="95"/>
      <c r="J37" s="82"/>
    </row>
    <row r="38" spans="2:10" ht="6" customHeight="1" x14ac:dyDescent="0.25"/>
    <row r="39" spans="2:10" ht="6" customHeight="1" x14ac:dyDescent="0.25">
      <c r="B39" s="88"/>
      <c r="C39" s="97"/>
      <c r="D39" s="97"/>
      <c r="E39" s="97"/>
      <c r="F39" s="97"/>
      <c r="G39" s="97"/>
      <c r="H39" s="97"/>
      <c r="I39" s="97"/>
      <c r="J39" s="93"/>
    </row>
    <row r="40" spans="2:10" ht="15" customHeight="1" x14ac:dyDescent="0.25">
      <c r="B40" s="62"/>
      <c r="C40" s="98" t="s">
        <v>381</v>
      </c>
      <c r="D40" s="99"/>
      <c r="E40" s="99"/>
      <c r="F40" s="66" t="str">
        <f ca="1">IF(SUM($F$16,$F$36)=0,"nevyplněno",SUM($F$16,$F$36))</f>
        <v>nevyplněno</v>
      </c>
      <c r="G40" s="67">
        <f ca="1">SUM($G$16,$G$36)</f>
        <v>115</v>
      </c>
      <c r="H40" s="67">
        <f ca="1">SUM($H$16,$H$36)</f>
        <v>0</v>
      </c>
      <c r="I40" s="99"/>
      <c r="J40" s="68"/>
    </row>
    <row r="41" spans="2:10" ht="6" customHeight="1" x14ac:dyDescent="0.25">
      <c r="B41" s="75"/>
      <c r="C41" s="95"/>
      <c r="D41" s="95"/>
      <c r="E41" s="95"/>
      <c r="F41" s="95"/>
      <c r="G41" s="95"/>
      <c r="H41" s="95"/>
      <c r="I41" s="95"/>
      <c r="J41" s="82"/>
    </row>
    <row r="42" spans="2:10" ht="6" customHeight="1" x14ac:dyDescent="0.25"/>
    <row r="43" spans="2:10" ht="15" customHeight="1" x14ac:dyDescent="0.25"/>
    <row r="44" spans="2:10" ht="15" customHeight="1" x14ac:dyDescent="0.25"/>
  </sheetData>
  <sheetProtection algorithmName="SHA-512" hashValue="SD1XtLBBhaldmcphve/F6qLApBGo5ISPYW8kb1d78Xvgta5py53G2LdOwVYSse69tfyvoUzxbJZf4ZLzqjLc1A==" saltValue="jMwy0909TgGrxDMgL/EZaQ==" spinCount="100000" sheet="1" objects="1" scenarios="1"/>
  <phoneticPr fontId="2" type="noConversion"/>
  <conditionalFormatting sqref="G16 G36 D7:I12 D20:I32">
    <cfRule type="expression" dxfId="61" priority="27">
      <formula>$G7=1</formula>
    </cfRule>
    <cfRule type="expression" dxfId="60" priority="34">
      <formula>$G7&gt;1</formula>
    </cfRule>
  </conditionalFormatting>
  <conditionalFormatting sqref="I7:I12 I20:I32">
    <cfRule type="expression" dxfId="59" priority="29">
      <formula>OR($I7="nevyplněno",$I7="bez nároku")</formula>
    </cfRule>
    <cfRule type="expression" dxfId="58" priority="30">
      <formula>$G7&gt;1</formula>
    </cfRule>
  </conditionalFormatting>
  <conditionalFormatting sqref="F7:F12 F20:F32">
    <cfRule type="expression" dxfId="57" priority="20">
      <formula>OR($F7="nevyplněno",$F7="bez nároku",$F7="nežádá")</formula>
    </cfRule>
    <cfRule type="expression" dxfId="56" priority="33">
      <formula>$F7&lt;&gt;"nevyplněno"</formula>
    </cfRule>
  </conditionalFormatting>
  <conditionalFormatting sqref="H7:H12 H20:H32">
    <cfRule type="expression" dxfId="55" priority="26">
      <formula>$H7=0</formula>
    </cfRule>
    <cfRule type="expression" dxfId="54" priority="28">
      <formula>$H7&lt;$G7</formula>
    </cfRule>
    <cfRule type="expression" dxfId="53" priority="31">
      <formula>AND($H7&lt;=$G7,$G7&gt;1)</formula>
    </cfRule>
  </conditionalFormatting>
  <conditionalFormatting sqref="G36">
    <cfRule type="expression" dxfId="52" priority="4">
      <formula>$G36=1</formula>
    </cfRule>
    <cfRule type="expression" dxfId="51" priority="5">
      <formula>$G36&gt;1</formula>
    </cfRule>
  </conditionalFormatting>
  <conditionalFormatting sqref="H16 H36">
    <cfRule type="expression" dxfId="50" priority="1">
      <formula>$H16=0</formula>
    </cfRule>
    <cfRule type="expression" dxfId="49" priority="2">
      <formula>$H16&lt;$G16</formula>
    </cfRule>
    <cfRule type="expression" dxfId="48" priority="3">
      <formula>AND($H16=$G16,$G16&gt;0)</formula>
    </cfRule>
  </conditionalFormatting>
  <conditionalFormatting sqref="G40">
    <cfRule type="expression" dxfId="47" priority="12">
      <formula>$G40=1</formula>
    </cfRule>
    <cfRule type="expression" dxfId="46" priority="13">
      <formula>$G40&gt;1</formula>
    </cfRule>
  </conditionalFormatting>
  <conditionalFormatting sqref="F40 F16 F36">
    <cfRule type="expression" dxfId="45" priority="14">
      <formula>$F16="nevyplněno"</formula>
    </cfRule>
    <cfRule type="expression" dxfId="44" priority="16">
      <formula>$F16&lt;&gt;"nevyplněno"</formula>
    </cfRule>
  </conditionalFormatting>
  <conditionalFormatting sqref="H40">
    <cfRule type="expression" dxfId="43" priority="8">
      <formula>$H40=0</formula>
    </cfRule>
    <cfRule type="expression" dxfId="42" priority="10">
      <formula>$H40&lt;$G40</formula>
    </cfRule>
    <cfRule type="expression" dxfId="41" priority="11">
      <formula>AND($H40=$G40,$G40&gt;0)</formula>
    </cfRule>
  </conditionalFormatting>
  <dataValidations count="15">
    <dataValidation type="list" allowBlank="1" showInputMessage="1" showErrorMessage="1" sqref="D30" xr:uid="{9CBDBD75-0B90-4FE0-99B9-F7D744FFA324}">
      <formula1>LES_ZALES_titul_zdroj</formula1>
    </dataValidation>
    <dataValidation type="list" allowBlank="1" showInputMessage="1" showErrorMessage="1" sqref="D31" xr:uid="{6EDB995D-4EF0-41F5-9CE7-C8A3A9140CDB}">
      <formula1>LES_AGROLES_titul_zdroj</formula1>
    </dataValidation>
    <dataValidation type="list" allowBlank="1" showInputMessage="1" showErrorMessage="1" sqref="D32" xr:uid="{9CC01A79-45B9-47E2-BC65-08E5692CA98B}">
      <formula1>LES_ENVILES_titul_zdroj</formula1>
    </dataValidation>
    <dataValidation type="list" allowBlank="1" showInputMessage="1" showErrorMessage="1" sqref="D29" xr:uid="{D5A73A2C-FE24-493C-BAC5-5BB39BCE660C}">
      <formula1>DZPZ_titul_zdroj</formula1>
    </dataValidation>
    <dataValidation type="list" allowBlank="1" showInputMessage="1" showErrorMessage="1" sqref="D28" xr:uid="{B23F8053-F608-4F93-AAB7-CECEE54DE8EC}">
      <formula1>NAT_2000_titul_zdroj</formula1>
    </dataValidation>
    <dataValidation type="list" allowBlank="1" showInputMessage="1" showErrorMessage="1" sqref="D27" xr:uid="{DB57035D-201A-47CE-B87E-654ED680C9EA}">
      <formula1>EZ_ZAKL_titul_zdroj</formula1>
    </dataValidation>
    <dataValidation type="list" allowBlank="1" showInputMessage="1" showErrorMessage="1" sqref="D25" xr:uid="{E63E1A23-DAA4-4F98-9699-36976E1ACD21}">
      <formula1>AEKO_JINE_titul_zdroj</formula1>
    </dataValidation>
    <dataValidation type="list" allowBlank="1" showInputMessage="1" showErrorMessage="1" sqref="D24" xr:uid="{D90C76C8-BB92-4750-87B5-294DFEC2BE5F}">
      <formula1>AEKO_BIODIV_titul_zdroj</formula1>
    </dataValidation>
    <dataValidation type="list" allowBlank="1" showInputMessage="1" showErrorMessage="1" sqref="D23" xr:uid="{AE87004E-5D41-472F-9D2D-22EAFFCB86EB}">
      <formula1>AEKO_OTP_titul_zdroj</formula1>
    </dataValidation>
    <dataValidation type="list" allowBlank="1" showInputMessage="1" showErrorMessage="1" sqref="D22" xr:uid="{B2C1619B-DA8A-417B-90FF-501BB1DA4A4A}">
      <formula1>AEKO_MEZIP_titul_zdroj</formula1>
    </dataValidation>
    <dataValidation type="list" allowBlank="1" showInputMessage="1" showErrorMessage="1" sqref="D21" xr:uid="{E067D50B-6211-408B-AA69-604199957702}">
      <formula1>AEKO_ZATR_titul_zdroj</formula1>
    </dataValidation>
    <dataValidation type="list" allowBlank="1" showInputMessage="1" showErrorMessage="1" sqref="D20" xr:uid="{60CA7650-F3B0-40E1-99D0-E92AFAA74A99}">
      <formula1>ANC_titul_zdroj</formula1>
    </dataValidation>
    <dataValidation type="list" allowBlank="1" showInputMessage="1" showErrorMessage="1" sqref="D11" xr:uid="{98CD7A0B-0CFD-4F13-8F16-6A4232A7DEB3}">
      <formula1>VCS_titul_zdroj</formula1>
    </dataValidation>
    <dataValidation type="list" allowBlank="1" showInputMessage="1" showErrorMessage="1" sqref="D9" xr:uid="{FF5537ED-7733-4E33-8338-3900DDB772B7}">
      <formula1>EKOSCHEMA_titul_zdroj</formula1>
    </dataValidation>
    <dataValidation type="list" allowBlank="1" showInputMessage="1" showErrorMessage="1" sqref="F3" xr:uid="{5C4073CE-CCCD-4FAA-8212-981DE9F423CC}">
      <formula1>"EUR, Kč"</formula1>
    </dataValidation>
  </dataValidations>
  <hyperlinks>
    <hyperlink ref="C7" location="SAPS!D5" display="SAPS" xr:uid="{263FA243-391C-478F-A5A4-959670638572}"/>
    <hyperlink ref="C9" location="EKOSCHEMA!D5" display="Ekoschémata" xr:uid="{4694E8E4-1650-4B5A-BD9B-051F79077733}"/>
    <hyperlink ref="C8" location="RP!D5" display="Redistributivní platba" xr:uid="{B7D780AF-963F-42C9-AAA3-568280F4A53D}"/>
    <hyperlink ref="C10" location="MLZ!D5" display="Mladý zemědělec" xr:uid="{5ABC1065-9B90-43CC-9892-78AA7E85D107}"/>
    <hyperlink ref="C11" location="VCS!D5" display="VCS" xr:uid="{DD289D30-EA71-49D1-A350-BDF7D886CE66}"/>
    <hyperlink ref="C20" location="ANC!D5" display="ANC!D5" xr:uid="{06CE8D5B-9775-4473-8498-A89771AF2AF1}"/>
    <hyperlink ref="C21" location="AEKO_ZATR!D5" display="AEKO - zatravňování erozně ohrožené půdy" xr:uid="{F547CCFC-212D-4294-BAC4-1B93EDD1CF63}"/>
    <hyperlink ref="C22" location="AEKO_MEZIP!D5" display="AEKO - meziplodiny" xr:uid="{C1B4A33B-ED95-401A-A6BE-56C6FE807E79}"/>
    <hyperlink ref="C23" location="AEKO_OTP!D5" display="AEKO - ošetřování cenných travních porostů" xr:uid="{268816E6-65CF-46DA-831D-70F52A542E2E}"/>
    <hyperlink ref="C24" location="AEKO_BIODIV!D5" display="AEKO - podpora biodiverzity na orné půdě" xr:uid="{00F5A69A-C51F-4493-87AD-CBFA94C4561C}"/>
    <hyperlink ref="C25" location="AEKO_IP!D5" display="AEKO - integrovaná produkce" xr:uid="{CA6DA198-FC73-4E08-B00F-4A39C39C6704}"/>
    <hyperlink ref="C26" location="AEKO_JINE!D5" display="AEKO - jiné" xr:uid="{0995B117-0B3A-480D-9A63-257C83419C05}"/>
    <hyperlink ref="C27" location="EZ_ZAKL!D5" display="Ekologické zemědělství - základní" xr:uid="{000E3F36-C7F6-48E9-B7EF-A71E580AF6F6}"/>
    <hyperlink ref="C28" location="NAT_2000!D5" display="Natura 2000" xr:uid="{96A2A95D-F998-41A2-AD7F-515E848B640E}"/>
    <hyperlink ref="C29" location="DZPZ!D5" display="Dobré životní podmínky zvířat" xr:uid="{75408E4F-1815-47E3-8039-0D5708B3E6A2}"/>
    <hyperlink ref="C30" location="LES_ZALES!D5" display="Lesy - zalesňování zemědělské půdy" xr:uid="{CF4F8DFD-62EB-4CAA-8FB2-297C2D23E291}"/>
    <hyperlink ref="C31" location="LES_AGROLES!D5" display="Lesy - agrolesnictví" xr:uid="{1FB2083B-358E-41E0-80ED-B81F0E2358CC}"/>
    <hyperlink ref="C32" location="LES_ENVILES!D5" display="Lesy - envi-klima služby a ochrana lesů" xr:uid="{8F29B88E-DA78-4265-A514-B5D0E0F0735D}"/>
    <hyperlink ref="C12" location="MS!A1" display="Malý subjekt" xr:uid="{30647C0E-ABFE-4FD7-B7C3-21749C912FD1}"/>
  </hyperlinks>
  <pageMargins left="0.7" right="0.7" top="0.78740157499999996" bottom="0.78740157499999996" header="0.3" footer="0.3"/>
  <pageSetup paperSize="9" orientation="portrait" r:id="rId1"/>
  <ignoredErrors>
    <ignoredError sqref="G10 H9:I9 I10:I1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FF3E30-938A-496C-8EE9-85D397A23D28}">
          <x14:formula1>
            <xm:f>OFFSET(AEKO_JINE!$C$5,0,0,COUNTA(AEKO_JINE!$C:$C),1)</xm:f>
          </x14:formula1>
          <xm:sqref>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P239"/>
  <sheetViews>
    <sheetView topLeftCell="A4" zoomScaleNormal="100" workbookViewId="0">
      <selection activeCell="A4" sqref="A1:XFD1048576"/>
    </sheetView>
  </sheetViews>
  <sheetFormatPr defaultRowHeight="15" x14ac:dyDescent="0.25"/>
  <cols>
    <col min="1" max="1" width="40.7109375" style="129" bestFit="1" customWidth="1"/>
    <col min="2" max="2" width="44.85546875" style="129" bestFit="1" customWidth="1"/>
    <col min="3" max="3" width="12" style="107" bestFit="1" customWidth="1"/>
    <col min="4" max="4" width="18.5703125" style="129" bestFit="1" customWidth="1"/>
    <col min="5" max="5" width="14.28515625" style="129" customWidth="1"/>
    <col min="6" max="6" width="14.28515625" style="129" bestFit="1" customWidth="1"/>
    <col min="7" max="7" width="12" style="107" bestFit="1" customWidth="1"/>
    <col min="8" max="8" width="5.42578125" style="107" customWidth="1"/>
    <col min="9" max="9" width="9.140625" style="107"/>
    <col min="10" max="10" width="16.42578125" style="107" bestFit="1" customWidth="1"/>
    <col min="11" max="11" width="19.42578125" style="107" customWidth="1"/>
    <col min="12" max="13" width="21.42578125" style="107" customWidth="1"/>
    <col min="14" max="14" width="17.42578125" style="107" customWidth="1"/>
    <col min="15" max="15" width="9.140625" style="107"/>
    <col min="16" max="16" width="13.42578125" style="107" bestFit="1" customWidth="1"/>
    <col min="17" max="19" width="9.140625" style="107"/>
    <col min="20" max="20" width="13.42578125" style="107" bestFit="1" customWidth="1"/>
    <col min="21" max="21" width="2.7109375" style="107" customWidth="1"/>
    <col min="22" max="25" width="11.28515625" style="107" bestFit="1" customWidth="1"/>
    <col min="26" max="26" width="13.85546875" style="107" bestFit="1" customWidth="1"/>
    <col min="27" max="27" width="3.28515625" style="107" customWidth="1"/>
    <col min="28" max="28" width="13.85546875" style="107" bestFit="1" customWidth="1"/>
    <col min="29" max="29" width="2.85546875" style="107" customWidth="1"/>
    <col min="30" max="37" width="9.85546875" style="107" customWidth="1"/>
    <col min="38" max="38" width="12.5703125" style="107" bestFit="1" customWidth="1"/>
    <col min="39" max="39" width="9.140625" style="107"/>
    <col min="40" max="40" width="48.28515625" style="107" bestFit="1" customWidth="1"/>
    <col min="41" max="41" width="40.42578125" style="107" bestFit="1" customWidth="1"/>
    <col min="42" max="16384" width="9.140625" style="107"/>
  </cols>
  <sheetData>
    <row r="1" spans="1:42" ht="15.75" x14ac:dyDescent="0.25">
      <c r="A1" s="105" t="s">
        <v>0</v>
      </c>
      <c r="B1" s="105" t="s">
        <v>1</v>
      </c>
      <c r="C1" s="106" t="s">
        <v>22</v>
      </c>
      <c r="D1" s="105" t="s">
        <v>371</v>
      </c>
      <c r="E1" s="105" t="s">
        <v>372</v>
      </c>
      <c r="F1" s="105" t="s">
        <v>24</v>
      </c>
      <c r="G1" s="106" t="s">
        <v>25</v>
      </c>
      <c r="H1" s="106" t="s">
        <v>26</v>
      </c>
      <c r="I1" s="107" t="s">
        <v>27</v>
      </c>
      <c r="J1" s="107" t="s">
        <v>28</v>
      </c>
      <c r="L1" s="108">
        <v>26.5</v>
      </c>
      <c r="P1" s="107" t="s">
        <v>29</v>
      </c>
      <c r="S1" s="107" t="s">
        <v>30</v>
      </c>
      <c r="T1" s="107">
        <v>26.5</v>
      </c>
      <c r="V1" s="109">
        <v>0</v>
      </c>
      <c r="W1" s="109">
        <v>60000</v>
      </c>
      <c r="X1" s="109">
        <v>70000</v>
      </c>
      <c r="Y1" s="109">
        <v>95000</v>
      </c>
      <c r="Z1" s="109">
        <v>100000</v>
      </c>
      <c r="AB1" s="107" t="s">
        <v>31</v>
      </c>
      <c r="AF1" s="49" t="s">
        <v>32</v>
      </c>
      <c r="AG1" s="110"/>
      <c r="AH1" s="111"/>
    </row>
    <row r="2" spans="1:42" ht="15.75" x14ac:dyDescent="0.25">
      <c r="A2" s="105" t="s">
        <v>33</v>
      </c>
      <c r="B2" s="105" t="s">
        <v>34</v>
      </c>
      <c r="C2" s="112">
        <f ca="1">_xlfn.IFNA(IF(INDEX(INDIRECT(G2&amp;"!$D:$D"),MATCH(DB_PODPOR!$B2,INDIRECT(G2&amp;"!$H:$H"),0))="","–",INDEX(INDIRECT(G2&amp;"!$D:$D"),MATCH(DB_PODPOR!$B2,INDIRECT(G2&amp;"!$H:$H"),0))),0)</f>
        <v>0</v>
      </c>
      <c r="D2" s="113">
        <f>$E2*ROZCESTNIK!$I$3</f>
        <v>1907.6109039183834</v>
      </c>
      <c r="E2" s="113">
        <v>71.985317128995604</v>
      </c>
      <c r="F2" s="114">
        <f>D2*N2</f>
        <v>1907.6109039183834</v>
      </c>
      <c r="G2" s="115" t="s">
        <v>6</v>
      </c>
      <c r="H2" s="106">
        <f t="shared" ref="H2:H37" ca="1" si="0">INDEX($AP$2:$AP$34,MATCH($A2,$AN$2:$AN$34,0))</f>
        <v>4</v>
      </c>
      <c r="I2" s="116" t="s">
        <v>35</v>
      </c>
      <c r="J2" s="107">
        <f t="shared" ref="J2:J33" ca="1" si="1">IFERROR(C2*F2,0)</f>
        <v>0</v>
      </c>
      <c r="K2" s="117" t="str">
        <f t="shared" ref="K2:K27" si="2">IF(L2="",B2,L2)</f>
        <v>Základní platba</v>
      </c>
      <c r="M2" s="107" t="str">
        <f>_xlfn.CONCAT(TRIM(A2),"_",TRIM(B2))</f>
        <v>Přímé platby_Základní platba</v>
      </c>
      <c r="N2" s="118">
        <f t="shared" ref="N2:N33" si="3">IF(O2=1,$AL$9,1)</f>
        <v>1</v>
      </c>
      <c r="O2" s="107">
        <f>INDEX($AL$2:$AL$7,MATCH($A2,$AN$2:$AN$7,0))</f>
        <v>0</v>
      </c>
      <c r="P2" s="119">
        <f t="shared" ref="P2:P33" ca="1" si="4">IFERROR(C2*D2,0)</f>
        <v>0</v>
      </c>
      <c r="Q2" s="120" t="e">
        <f t="shared" ref="Q2:Q33" ca="1" si="5">P2/SUM($P$2:$P$33)</f>
        <v>#DIV/0!</v>
      </c>
      <c r="V2" s="119"/>
      <c r="W2" s="119"/>
      <c r="X2" s="119"/>
      <c r="Y2" s="119"/>
      <c r="Z2" s="119"/>
      <c r="AF2" s="121">
        <v>0</v>
      </c>
      <c r="AG2" s="17">
        <v>50</v>
      </c>
      <c r="AH2" s="17">
        <v>100</v>
      </c>
      <c r="AL2" s="107">
        <v>0</v>
      </c>
      <c r="AM2" s="107">
        <v>1</v>
      </c>
      <c r="AN2" s="107" t="s">
        <v>33</v>
      </c>
      <c r="AO2" s="107" t="s">
        <v>6</v>
      </c>
      <c r="AP2" s="107">
        <f ca="1">_xlfn.SHEET(TEXT(AO2,"#"))</f>
        <v>4</v>
      </c>
    </row>
    <row r="3" spans="1:42" ht="15.75" x14ac:dyDescent="0.25">
      <c r="A3" s="105" t="s">
        <v>8</v>
      </c>
      <c r="B3" s="105" t="s">
        <v>356</v>
      </c>
      <c r="C3" s="112">
        <f ca="1">_xlfn.IFNA(IF(INDEX(INDIRECT(G3&amp;"!$D:$D"),MATCH(DB_PODPOR!$B3,INDIRECT(G3&amp;"!$H:$H"),0))="","–",INDEX(INDIRECT(G3&amp;"!$D:$D"),MATCH(DB_PODPOR!$B3,INDIRECT(G3&amp;"!$H:$H"),0))),0)</f>
        <v>0</v>
      </c>
      <c r="D3" s="113">
        <f>$E3*ROZCESTNIK!$I$3</f>
        <v>400</v>
      </c>
      <c r="E3" s="113">
        <v>15.09433962264151</v>
      </c>
      <c r="F3" s="114">
        <f>IFERROR(D3*N3,"–")</f>
        <v>400</v>
      </c>
      <c r="G3" s="115" t="s">
        <v>36</v>
      </c>
      <c r="H3" s="106">
        <f t="shared" ca="1" si="0"/>
        <v>6</v>
      </c>
      <c r="I3" s="107" t="s">
        <v>35</v>
      </c>
      <c r="J3" s="107">
        <f t="shared" ca="1" si="1"/>
        <v>0</v>
      </c>
      <c r="K3" s="117" t="str">
        <f t="shared" si="2"/>
        <v>Precizní zemědělství</v>
      </c>
      <c r="L3" s="107" t="s">
        <v>356</v>
      </c>
      <c r="M3" s="107" t="str">
        <f t="shared" ref="M3:M67" si="6">_xlfn.CONCAT(TRIM(A3),"_",TRIM(B3))</f>
        <v>Ekoschémata_Precizní zemědělství</v>
      </c>
      <c r="N3" s="118">
        <f t="shared" si="3"/>
        <v>1</v>
      </c>
      <c r="O3" s="107">
        <f t="shared" ref="O3:O33" si="7">INDEX($AL$2:$AL$7,MATCH($A3,$AN$2:$AN$7,0))</f>
        <v>0</v>
      </c>
      <c r="P3" s="119">
        <f t="shared" ca="1" si="4"/>
        <v>0</v>
      </c>
      <c r="Q3" s="120" t="e">
        <f t="shared" ca="1" si="5"/>
        <v>#DIV/0!</v>
      </c>
      <c r="T3" s="107" t="s">
        <v>37</v>
      </c>
      <c r="V3" s="122">
        <f>V$1</f>
        <v>0</v>
      </c>
      <c r="W3" s="122">
        <f>W$1*$T$1</f>
        <v>1590000</v>
      </c>
      <c r="X3" s="122">
        <f>X$1*$T$1</f>
        <v>1855000</v>
      </c>
      <c r="Y3" s="122">
        <f>Y$1*$T$1</f>
        <v>2517500</v>
      </c>
      <c r="Z3" s="122">
        <f>Z$1*$T$1</f>
        <v>2650000</v>
      </c>
      <c r="AF3" s="121">
        <v>50</v>
      </c>
      <c r="AG3" s="17">
        <v>100</v>
      </c>
      <c r="AH3" s="17">
        <v>150</v>
      </c>
      <c r="AL3" s="107">
        <v>0</v>
      </c>
      <c r="AM3" s="107">
        <v>2</v>
      </c>
      <c r="AN3" s="107" t="s">
        <v>8</v>
      </c>
      <c r="AO3" s="107" t="s">
        <v>36</v>
      </c>
      <c r="AP3" s="107">
        <f t="shared" ref="AP3:AP35" ca="1" si="8">_xlfn.SHEET(TEXT(AO3,"#"))</f>
        <v>6</v>
      </c>
    </row>
    <row r="4" spans="1:42" x14ac:dyDescent="0.25">
      <c r="A4" s="105" t="s">
        <v>8</v>
      </c>
      <c r="B4" s="105" t="s">
        <v>41</v>
      </c>
      <c r="C4" s="112">
        <f ca="1">_xlfn.IFNA(IF(INDEX(INDIRECT(G4&amp;"!$D:$D"),MATCH(DB_PODPOR!$B4,INDIRECT(G4&amp;"!$H:$H"),0))="","–",INDEX(INDIRECT(G4&amp;"!$D:$D"),MATCH(DB_PODPOR!$B4,INDIRECT(G4&amp;"!$H:$H"),0))),0)</f>
        <v>0</v>
      </c>
      <c r="D4" s="113">
        <f>$E4*ROZCESTNIK!$I$3</f>
        <v>1798.5748031195433</v>
      </c>
      <c r="E4" s="113">
        <v>67.870747287529937</v>
      </c>
      <c r="F4" s="114">
        <f t="shared" ref="F4:F33" si="9">D4*N4</f>
        <v>1798.5748031195433</v>
      </c>
      <c r="G4" s="115" t="s">
        <v>36</v>
      </c>
      <c r="H4" s="106">
        <f t="shared" ca="1" si="0"/>
        <v>6</v>
      </c>
      <c r="I4" s="116" t="s">
        <v>35</v>
      </c>
      <c r="J4" s="107">
        <f t="shared" ca="1" si="1"/>
        <v>0</v>
      </c>
      <c r="K4" s="117" t="str">
        <f t="shared" si="2"/>
        <v>Šetrný management na orné půdě</v>
      </c>
      <c r="L4" s="107" t="s">
        <v>42</v>
      </c>
      <c r="M4" s="107" t="str">
        <f t="shared" si="6"/>
        <v>Ekoschémata_Šetrny management na orné půdě ®</v>
      </c>
      <c r="N4" s="118">
        <f t="shared" si="3"/>
        <v>1</v>
      </c>
      <c r="O4" s="107">
        <f t="shared" si="7"/>
        <v>0</v>
      </c>
      <c r="P4" s="119">
        <f t="shared" ca="1" si="4"/>
        <v>0</v>
      </c>
      <c r="Q4" s="120" t="e">
        <f t="shared" ca="1" si="5"/>
        <v>#DIV/0!</v>
      </c>
      <c r="T4" s="107" t="s">
        <v>38</v>
      </c>
      <c r="V4" s="122">
        <f>W$1*$T$1</f>
        <v>1590000</v>
      </c>
      <c r="W4" s="122">
        <f>X$1*$T$1</f>
        <v>1855000</v>
      </c>
      <c r="X4" s="122">
        <f>Y$1*$T$1</f>
        <v>2517500</v>
      </c>
      <c r="Y4" s="122">
        <f>Z$1*$T$1</f>
        <v>2650000</v>
      </c>
      <c r="Z4" s="122">
        <f ca="1">IF(SUM(P2:P33)&lt;Z3,Z3,SUM(P2:P33))</f>
        <v>2650000</v>
      </c>
      <c r="AB4" s="119"/>
      <c r="AC4" s="119"/>
      <c r="AD4" s="119"/>
      <c r="AE4" s="119"/>
      <c r="AF4" s="18"/>
      <c r="AG4" s="18"/>
      <c r="AH4" s="18"/>
      <c r="AI4" s="119"/>
      <c r="AJ4" s="119"/>
      <c r="AK4" s="119"/>
      <c r="AL4" s="107">
        <v>0</v>
      </c>
      <c r="AM4" s="107">
        <v>3</v>
      </c>
      <c r="AN4" s="107" t="s">
        <v>39</v>
      </c>
      <c r="AO4" s="107" t="s">
        <v>40</v>
      </c>
      <c r="AP4" s="107">
        <f t="shared" ca="1" si="8"/>
        <v>7</v>
      </c>
    </row>
    <row r="5" spans="1:42" x14ac:dyDescent="0.25">
      <c r="A5" s="105" t="s">
        <v>8</v>
      </c>
      <c r="B5" s="105" t="s">
        <v>360</v>
      </c>
      <c r="C5" s="112">
        <f ca="1">_xlfn.IFNA(IF(INDEX(INDIRECT(G5&amp;"!$D:$D"),MATCH(DB_PODPOR!$B5,INDIRECT(G5&amp;"!$H:$H"),0))="","–",INDEX(INDIRECT(G5&amp;"!$D:$D"),MATCH(DB_PODPOR!$B5,INDIRECT(G5&amp;"!$H:$H"),0))),0)</f>
        <v>0</v>
      </c>
      <c r="D5" s="113">
        <f>$E5*ROZCESTNIK!$I$3</f>
        <v>1798.5748031195433</v>
      </c>
      <c r="E5" s="113">
        <v>67.870747287529937</v>
      </c>
      <c r="F5" s="114">
        <f t="shared" si="9"/>
        <v>1798.5748031195433</v>
      </c>
      <c r="G5" s="115" t="s">
        <v>36</v>
      </c>
      <c r="H5" s="106">
        <f t="shared" ca="1" si="0"/>
        <v>6</v>
      </c>
      <c r="I5" s="116" t="s">
        <v>35</v>
      </c>
      <c r="J5" s="107">
        <f t="shared" ca="1" si="1"/>
        <v>0</v>
      </c>
      <c r="K5" s="117" t="str">
        <f t="shared" si="2"/>
        <v>Šetrný management na travách na orné půdě (G)</v>
      </c>
      <c r="L5" s="107" t="s">
        <v>361</v>
      </c>
      <c r="M5" s="107" t="str">
        <f t="shared" si="6"/>
        <v>Ekoschémata_Šetrny management na travách na orné půdě (G)</v>
      </c>
      <c r="N5" s="118">
        <f t="shared" si="3"/>
        <v>1</v>
      </c>
      <c r="O5" s="107">
        <f t="shared" si="7"/>
        <v>0</v>
      </c>
      <c r="P5" s="119">
        <f t="shared" ca="1" si="4"/>
        <v>0</v>
      </c>
      <c r="Q5" s="120" t="e">
        <f t="shared" ca="1" si="5"/>
        <v>#DIV/0!</v>
      </c>
      <c r="T5" s="107" t="s">
        <v>43</v>
      </c>
      <c r="V5" s="123">
        <v>1</v>
      </c>
      <c r="W5" s="123">
        <v>0.75</v>
      </c>
      <c r="X5" s="123">
        <v>0.5</v>
      </c>
      <c r="Y5" s="123">
        <v>0.25</v>
      </c>
      <c r="Z5" s="123">
        <v>0</v>
      </c>
      <c r="AF5" s="50" t="s">
        <v>44</v>
      </c>
      <c r="AG5" s="124"/>
      <c r="AH5" s="125"/>
      <c r="AL5" s="107">
        <v>0</v>
      </c>
      <c r="AM5" s="107">
        <v>4</v>
      </c>
      <c r="AN5" s="107" t="s">
        <v>45</v>
      </c>
      <c r="AO5" s="107" t="s">
        <v>11</v>
      </c>
      <c r="AP5" s="107">
        <f t="shared" ca="1" si="8"/>
        <v>8</v>
      </c>
    </row>
    <row r="6" spans="1:42" x14ac:dyDescent="0.25">
      <c r="A6" s="105" t="s">
        <v>8</v>
      </c>
      <c r="B6" s="105" t="s">
        <v>362</v>
      </c>
      <c r="C6" s="112">
        <f ca="1">_xlfn.IFNA(IF(INDEX(INDIRECT(G6&amp;"!$D:$D"),MATCH(DB_PODPOR!$B6,INDIRECT(G6&amp;"!$H:$H"),0))="","–",INDEX(INDIRECT(G6&amp;"!$D:$D"),MATCH(DB_PODPOR!$B6,INDIRECT(G6&amp;"!$H:$H"),0))),0)</f>
        <v>0</v>
      </c>
      <c r="D6" s="113">
        <f>$E6*ROZCESTNIK!$I$3</f>
        <v>1798.5748031195433</v>
      </c>
      <c r="E6" s="113">
        <v>67.870747287529937</v>
      </c>
      <c r="F6" s="114">
        <f t="shared" si="9"/>
        <v>1798.5748031195433</v>
      </c>
      <c r="G6" s="115" t="s">
        <v>36</v>
      </c>
      <c r="H6" s="106">
        <f t="shared" ca="1" si="0"/>
        <v>6</v>
      </c>
      <c r="I6" s="116" t="s">
        <v>35</v>
      </c>
      <c r="J6" s="107">
        <f t="shared" ca="1" si="1"/>
        <v>0</v>
      </c>
      <c r="K6" s="117" t="str">
        <f t="shared" si="2"/>
        <v>Šetrný management na travních porostech (T)</v>
      </c>
      <c r="L6" s="107" t="s">
        <v>363</v>
      </c>
      <c r="M6" s="107" t="str">
        <f t="shared" si="6"/>
        <v>Ekoschémata_Šetrny management na travních porostech (T)</v>
      </c>
      <c r="N6" s="118">
        <f t="shared" si="3"/>
        <v>1</v>
      </c>
      <c r="O6" s="107">
        <f t="shared" si="7"/>
        <v>0</v>
      </c>
      <c r="P6" s="119">
        <f t="shared" ca="1" si="4"/>
        <v>0</v>
      </c>
      <c r="Q6" s="120" t="e">
        <f t="shared" ca="1" si="5"/>
        <v>#DIV/0!</v>
      </c>
      <c r="R6" s="119"/>
      <c r="S6" s="119"/>
      <c r="T6" s="119" t="s">
        <v>46</v>
      </c>
      <c r="V6" s="122">
        <f>V4-V3</f>
        <v>1590000</v>
      </c>
      <c r="W6" s="122">
        <f>W4-W3</f>
        <v>265000</v>
      </c>
      <c r="X6" s="122">
        <f>X4-X3</f>
        <v>662500</v>
      </c>
      <c r="Y6" s="122">
        <f>Y4-Y3</f>
        <v>132500</v>
      </c>
      <c r="Z6" s="122">
        <f ca="1">Z4-Z3</f>
        <v>0</v>
      </c>
      <c r="AB6" s="119" t="e">
        <f>T9-SUM(V9:Z9)</f>
        <v>#VALUE!</v>
      </c>
      <c r="AC6" s="119"/>
      <c r="AD6" s="119"/>
      <c r="AE6" s="119"/>
      <c r="AF6" s="16">
        <f ca="1">IF($C$2&gt;$AH$3,0,1)*IF($C$2&lt;AF$2,$AF$2,IF($C$2&gt;AF$3,AF$3-AF$2,$C$2-AF$2))</f>
        <v>0</v>
      </c>
      <c r="AG6" s="16">
        <f ca="1">IF($C$2&gt;$AH$3,0,1)*IF($C$2&lt;AG$2,$AF$2,IF($C$2&gt;AG$3,AG$3-AG$2,$C$2-AG$2))</f>
        <v>0</v>
      </c>
      <c r="AH6" s="16">
        <f ca="1">IF($C$2&gt;$AH$3,0,1)*IF($C$2&lt;AH$2,$AF$2,IF($C$2&gt;AH$3,AH$3-AH$2,$C$2-AH$2))</f>
        <v>0</v>
      </c>
      <c r="AI6" s="119"/>
      <c r="AJ6" s="119"/>
      <c r="AK6" s="119"/>
      <c r="AL6" s="107">
        <v>0</v>
      </c>
      <c r="AM6" s="107">
        <v>5</v>
      </c>
      <c r="AN6" s="107" t="s">
        <v>370</v>
      </c>
      <c r="AO6" s="107" t="s">
        <v>374</v>
      </c>
      <c r="AP6" s="107">
        <f t="shared" ca="1" si="8"/>
        <v>9</v>
      </c>
    </row>
    <row r="7" spans="1:42" x14ac:dyDescent="0.25">
      <c r="A7" s="105" t="s">
        <v>8</v>
      </c>
      <c r="B7" s="105" t="s">
        <v>48</v>
      </c>
      <c r="C7" s="112">
        <f ca="1">_xlfn.IFNA(IF(INDEX(INDIRECT(G7&amp;"!$D:$D"),MATCH(DB_PODPOR!$B7,INDIRECT(G7&amp;"!$H:$H"),0))="","–",INDEX(INDIRECT(G7&amp;"!$D:$D"),MATCH(DB_PODPOR!$B7,INDIRECT(G7&amp;"!$H:$H"),0))),0)</f>
        <v>0</v>
      </c>
      <c r="D7" s="113">
        <f>$E7*ROZCESTNIK!$I$3</f>
        <v>1798.5748031195433</v>
      </c>
      <c r="E7" s="113">
        <v>67.870747287529937</v>
      </c>
      <c r="F7" s="114">
        <f t="shared" si="9"/>
        <v>1798.5748031195433</v>
      </c>
      <c r="G7" s="115" t="s">
        <v>36</v>
      </c>
      <c r="H7" s="106">
        <f t="shared" ca="1" si="0"/>
        <v>6</v>
      </c>
      <c r="I7" s="116" t="s">
        <v>35</v>
      </c>
      <c r="J7" s="107">
        <f t="shared" ca="1" si="1"/>
        <v>0</v>
      </c>
      <c r="K7" s="117" t="str">
        <f t="shared" si="2"/>
        <v>Šetrný management na úhoru (Ú)</v>
      </c>
      <c r="L7" s="107" t="s">
        <v>49</v>
      </c>
      <c r="M7" s="107" t="str">
        <f t="shared" si="6"/>
        <v>Ekoschémata_Šetrny management na úhoru (Ú)</v>
      </c>
      <c r="N7" s="118">
        <f t="shared" si="3"/>
        <v>1</v>
      </c>
      <c r="O7" s="107">
        <f t="shared" si="7"/>
        <v>0</v>
      </c>
      <c r="P7" s="119">
        <f t="shared" ca="1" si="4"/>
        <v>0</v>
      </c>
      <c r="Q7" s="120" t="e">
        <f t="shared" ca="1" si="5"/>
        <v>#DIV/0!</v>
      </c>
      <c r="R7" s="119"/>
      <c r="S7" s="119"/>
      <c r="T7" s="119"/>
      <c r="V7" s="119"/>
      <c r="W7" s="119"/>
      <c r="X7" s="119"/>
      <c r="Y7" s="119"/>
      <c r="Z7" s="119"/>
      <c r="AB7" s="119"/>
      <c r="AC7" s="119"/>
      <c r="AD7" s="119"/>
      <c r="AE7" s="119"/>
      <c r="AI7" s="119"/>
      <c r="AJ7" s="119"/>
      <c r="AK7" s="119"/>
      <c r="AL7" s="107">
        <v>0</v>
      </c>
      <c r="AM7" s="107">
        <v>6</v>
      </c>
      <c r="AN7" s="107" t="s">
        <v>7</v>
      </c>
      <c r="AO7" s="107" t="s">
        <v>47</v>
      </c>
      <c r="AP7" s="107">
        <f t="shared" ca="1" si="8"/>
        <v>5</v>
      </c>
    </row>
    <row r="8" spans="1:42" x14ac:dyDescent="0.25">
      <c r="A8" s="105" t="s">
        <v>8</v>
      </c>
      <c r="B8" s="105" t="s">
        <v>52</v>
      </c>
      <c r="C8" s="112">
        <f ca="1">_xlfn.IFNA(IF(INDEX(INDIRECT(G8&amp;"!$D:$D"),MATCH(DB_PODPOR!$B8,INDIRECT(G8&amp;"!$H:$H"),0))="","–",INDEX(INDIRECT(G8&amp;"!$D:$D"),MATCH(DB_PODPOR!$B8,INDIRECT(G8&amp;"!$H:$H"),0))),0)</f>
        <v>0</v>
      </c>
      <c r="D8" s="113">
        <f>$E8*ROZCESTNIK!$I$3</f>
        <v>1798.5748031195433</v>
      </c>
      <c r="E8" s="113">
        <v>67.870747287529937</v>
      </c>
      <c r="F8" s="114">
        <f t="shared" si="9"/>
        <v>1798.5748031195433</v>
      </c>
      <c r="G8" s="115" t="s">
        <v>36</v>
      </c>
      <c r="H8" s="106">
        <f t="shared" ca="1" si="0"/>
        <v>6</v>
      </c>
      <c r="I8" s="116" t="s">
        <v>35</v>
      </c>
      <c r="J8" s="107">
        <f t="shared" ca="1" si="1"/>
        <v>0</v>
      </c>
      <c r="K8" s="117" t="str">
        <f t="shared" si="2"/>
        <v>Šetrný management v sadech (S)</v>
      </c>
      <c r="L8" s="107" t="s">
        <v>53</v>
      </c>
      <c r="M8" s="107" t="str">
        <f t="shared" si="6"/>
        <v>Ekoschémata_Šetrny management v sadech (S)</v>
      </c>
      <c r="N8" s="118">
        <f t="shared" si="3"/>
        <v>1</v>
      </c>
      <c r="O8" s="107">
        <f t="shared" si="7"/>
        <v>0</v>
      </c>
      <c r="P8" s="119">
        <f t="shared" ca="1" si="4"/>
        <v>0</v>
      </c>
      <c r="Q8" s="120" t="e">
        <f t="shared" ca="1" si="5"/>
        <v>#DIV/0!</v>
      </c>
      <c r="R8" s="119"/>
      <c r="S8" s="119" t="s">
        <v>54</v>
      </c>
      <c r="AB8" s="107" t="s">
        <v>55</v>
      </c>
      <c r="AM8" s="107">
        <v>7</v>
      </c>
      <c r="AN8" s="107" t="s">
        <v>50</v>
      </c>
      <c r="AO8" s="107" t="s">
        <v>51</v>
      </c>
      <c r="AP8" s="107">
        <f t="shared" ca="1" si="8"/>
        <v>10</v>
      </c>
    </row>
    <row r="9" spans="1:42" x14ac:dyDescent="0.25">
      <c r="A9" s="105" t="s">
        <v>8</v>
      </c>
      <c r="B9" s="105" t="s">
        <v>57</v>
      </c>
      <c r="C9" s="112">
        <f ca="1">_xlfn.IFNA(IF(INDEX(INDIRECT(G9&amp;"!$D:$D"),MATCH(DB_PODPOR!$B9,INDIRECT(G9&amp;"!$H:$H"),0))="","–",INDEX(INDIRECT(G9&amp;"!$D:$D"),MATCH(DB_PODPOR!$B9,INDIRECT(G9&amp;"!$H:$H"),0))),0)</f>
        <v>0</v>
      </c>
      <c r="D9" s="113">
        <f>$E9*ROZCESTNIK!$I$3</f>
        <v>1798.5748031195433</v>
      </c>
      <c r="E9" s="113">
        <v>67.870747287529937</v>
      </c>
      <c r="F9" s="114">
        <f t="shared" si="9"/>
        <v>1798.5748031195433</v>
      </c>
      <c r="G9" s="115" t="s">
        <v>36</v>
      </c>
      <c r="H9" s="106">
        <f t="shared" ca="1" si="0"/>
        <v>6</v>
      </c>
      <c r="I9" s="116" t="s">
        <v>35</v>
      </c>
      <c r="J9" s="107">
        <f t="shared" ca="1" si="1"/>
        <v>0</v>
      </c>
      <c r="K9" s="117" t="str">
        <f t="shared" si="2"/>
        <v>Šetrný management na vinicích (V)</v>
      </c>
      <c r="L9" s="107" t="s">
        <v>58</v>
      </c>
      <c r="M9" s="107" t="str">
        <f t="shared" si="6"/>
        <v>Ekoschémata_Šetrny management na vinicích (V)</v>
      </c>
      <c r="N9" s="118">
        <f t="shared" si="3"/>
        <v>1</v>
      </c>
      <c r="O9" s="107">
        <f t="shared" si="7"/>
        <v>0</v>
      </c>
      <c r="P9" s="119">
        <f t="shared" ca="1" si="4"/>
        <v>0</v>
      </c>
      <c r="Q9" s="120" t="e">
        <f t="shared" ca="1" si="5"/>
        <v>#DIV/0!</v>
      </c>
      <c r="S9" s="107">
        <v>1</v>
      </c>
      <c r="T9" s="119" t="e">
        <f>IF(SUMIF($O$2:$O$33,S9,$P$2:$P$33)-AB14&lt;0,0,SUMIF($O$2:$O$33,S9,$P$2:$P$33)-AB14)</f>
        <v>#VALUE!</v>
      </c>
      <c r="V9" s="126" t="e">
        <f>IF($T9-SUM(($U9:U9))&gt;V6,V6,$T9-SUM(($U9:U9)))</f>
        <v>#VALUE!</v>
      </c>
      <c r="W9" s="126" t="e">
        <f>IF($T9-SUM(($U9:V9))&gt;W6,W6,$T9-SUM(($U9:V9)))</f>
        <v>#VALUE!</v>
      </c>
      <c r="X9" s="126" t="e">
        <f>IF($T9-SUM(($U9:W9))&gt;X6,X6,$T9-SUM(($U9:W9)))</f>
        <v>#VALUE!</v>
      </c>
      <c r="Y9" s="126" t="e">
        <f>IF($T9-SUM(($U9:X9))&gt;Y6,Y6,$T9-SUM(($U9:X9)))</f>
        <v>#VALUE!</v>
      </c>
      <c r="Z9" s="126" t="e">
        <f ca="1">IF($T9-SUM(($U9:Y9))&gt;Z6,Z6,$T9-SUM(($U9:Y9)))</f>
        <v>#VALUE!</v>
      </c>
      <c r="AB9" s="126" t="e">
        <f>SUMPRODUCT(V5:Z5,V9:Z9)</f>
        <v>#VALUE!</v>
      </c>
      <c r="AC9" s="119"/>
      <c r="AD9" s="119"/>
      <c r="AE9" s="119"/>
      <c r="AI9" s="119"/>
      <c r="AJ9" s="119"/>
      <c r="AK9" s="119"/>
      <c r="AL9" s="127">
        <f ca="1">IF(T20=0,0,IF(((AB9+T16+AB14)/T20)&gt;1,1,(AB9+T16+AB14)/T20))</f>
        <v>0</v>
      </c>
      <c r="AM9" s="107">
        <v>8</v>
      </c>
      <c r="AN9" s="107" t="s">
        <v>56</v>
      </c>
      <c r="AO9" s="107" t="s">
        <v>51</v>
      </c>
      <c r="AP9" s="107">
        <f t="shared" ca="1" si="8"/>
        <v>10</v>
      </c>
    </row>
    <row r="10" spans="1:42" ht="14.25" customHeight="1" x14ac:dyDescent="0.25">
      <c r="A10" s="105" t="s">
        <v>8</v>
      </c>
      <c r="B10" s="105" t="s">
        <v>60</v>
      </c>
      <c r="C10" s="112">
        <f ca="1">_xlfn.IFNA(IF(INDEX(INDIRECT(G10&amp;"!$D:$D"),MATCH(DB_PODPOR!$B10,INDIRECT(G10&amp;"!$H:$H"),0))="","–",INDEX(INDIRECT(G10&amp;"!$D:$D"),MATCH(DB_PODPOR!$B10,INDIRECT(G10&amp;"!$H:$H"),0))),0)</f>
        <v>0</v>
      </c>
      <c r="D10" s="113">
        <f>$E10*ROZCESTNIK!$I$3</f>
        <v>1798.5748031195433</v>
      </c>
      <c r="E10" s="113">
        <v>67.870747287529937</v>
      </c>
      <c r="F10" s="114">
        <f t="shared" si="9"/>
        <v>1798.5748031195433</v>
      </c>
      <c r="G10" s="115" t="s">
        <v>36</v>
      </c>
      <c r="H10" s="106">
        <f t="shared" ca="1" si="0"/>
        <v>6</v>
      </c>
      <c r="I10" s="116" t="s">
        <v>35</v>
      </c>
      <c r="J10" s="107">
        <f t="shared" ca="1" si="1"/>
        <v>0</v>
      </c>
      <c r="K10" s="117" t="str">
        <f t="shared" si="2"/>
        <v>Šetrný management na chmelnicích (C)</v>
      </c>
      <c r="L10" s="107" t="s">
        <v>61</v>
      </c>
      <c r="M10" s="107" t="str">
        <f t="shared" si="6"/>
        <v>Ekoschémata_Šetrny management na chmelnicích (C)</v>
      </c>
      <c r="N10" s="118">
        <f t="shared" si="3"/>
        <v>1</v>
      </c>
      <c r="O10" s="107">
        <f t="shared" si="7"/>
        <v>0</v>
      </c>
      <c r="P10" s="119">
        <f t="shared" ca="1" si="4"/>
        <v>0</v>
      </c>
      <c r="Q10" s="120" t="e">
        <f t="shared" ca="1" si="5"/>
        <v>#DIV/0!</v>
      </c>
      <c r="AM10" s="107">
        <v>9</v>
      </c>
      <c r="AN10" s="107" t="s">
        <v>12</v>
      </c>
      <c r="AO10" s="107" t="s">
        <v>59</v>
      </c>
      <c r="AP10" s="107">
        <f t="shared" ca="1" si="8"/>
        <v>11</v>
      </c>
    </row>
    <row r="11" spans="1:42" ht="14.25" customHeight="1" thickBot="1" x14ac:dyDescent="0.3">
      <c r="A11" s="105" t="s">
        <v>8</v>
      </c>
      <c r="B11" s="105" t="s">
        <v>64</v>
      </c>
      <c r="C11" s="112">
        <f ca="1">_xlfn.IFNA(IF(INDEX(INDIRECT(G11&amp;"!$D:$D"),MATCH(DB_PODPOR!$B11,INDIRECT(G11&amp;"!$H:$H"),0))="","–",INDEX(INDIRECT(G11&amp;"!$D:$D"),MATCH(DB_PODPOR!$B11,INDIRECT(G11&amp;"!$H:$H"),0))),0)</f>
        <v>0</v>
      </c>
      <c r="D11" s="113">
        <f>$E11*ROZCESTNIK!$I$3</f>
        <v>1798.5748031195433</v>
      </c>
      <c r="E11" s="113">
        <v>67.870747287529937</v>
      </c>
      <c r="F11" s="114">
        <f t="shared" si="9"/>
        <v>1798.5748031195433</v>
      </c>
      <c r="G11" s="115" t="s">
        <v>36</v>
      </c>
      <c r="H11" s="106">
        <f t="shared" ca="1" si="0"/>
        <v>6</v>
      </c>
      <c r="I11" s="116" t="s">
        <v>35</v>
      </c>
      <c r="J11" s="107">
        <f t="shared" ca="1" si="1"/>
        <v>0</v>
      </c>
      <c r="K11" s="117" t="str">
        <f t="shared" si="2"/>
        <v>Šetrný management na jiné kultuře (J)</v>
      </c>
      <c r="L11" s="107" t="s">
        <v>359</v>
      </c>
      <c r="M11" s="107" t="str">
        <f t="shared" si="6"/>
        <v>Ekoschémata_Šetrny management na Jiné kultuře (J)</v>
      </c>
      <c r="N11" s="118">
        <f t="shared" si="3"/>
        <v>1</v>
      </c>
      <c r="O11" s="107">
        <f t="shared" si="7"/>
        <v>0</v>
      </c>
      <c r="P11" s="119">
        <f t="shared" ca="1" si="4"/>
        <v>0</v>
      </c>
      <c r="Q11" s="120" t="e">
        <f t="shared" ca="1" si="5"/>
        <v>#DIV/0!</v>
      </c>
      <c r="AB11" s="107" t="s">
        <v>65</v>
      </c>
      <c r="AF11" s="119"/>
      <c r="AG11" s="119"/>
      <c r="AH11" s="119"/>
      <c r="AM11" s="107">
        <v>10</v>
      </c>
      <c r="AN11" s="107" t="s">
        <v>62</v>
      </c>
      <c r="AO11" s="107" t="s">
        <v>63</v>
      </c>
      <c r="AP11" s="107">
        <f t="shared" ca="1" si="8"/>
        <v>12</v>
      </c>
    </row>
    <row r="12" spans="1:42" ht="16.5" thickTop="1" thickBot="1" x14ac:dyDescent="0.3">
      <c r="A12" s="105" t="s">
        <v>8</v>
      </c>
      <c r="B12" s="105" t="s">
        <v>375</v>
      </c>
      <c r="C12" s="112">
        <f ca="1">_xlfn.IFNA(IF(INDEX(INDIRECT(G12&amp;"!$D:$D"),MATCH(DB_PODPOR!$B12,INDIRECT(G12&amp;"!$H:$H"),0))="","–",INDEX(INDIRECT(G12&amp;"!$D:$D"),MATCH(DB_PODPOR!$B12,INDIRECT(G12&amp;"!$H:$H"),0))),0)</f>
        <v>0</v>
      </c>
      <c r="D12" s="113">
        <f>$E12*ROZCESTNIK!$I$3</f>
        <v>1798.5748031195433</v>
      </c>
      <c r="E12" s="113">
        <v>67.870747287529937</v>
      </c>
      <c r="F12" s="114">
        <f t="shared" si="9"/>
        <v>1798.5748031195433</v>
      </c>
      <c r="G12" s="115" t="s">
        <v>36</v>
      </c>
      <c r="H12" s="106">
        <f t="shared" ca="1" si="0"/>
        <v>6</v>
      </c>
      <c r="I12" s="116" t="s">
        <v>35</v>
      </c>
      <c r="J12" s="107">
        <f t="shared" ca="1" si="1"/>
        <v>0</v>
      </c>
      <c r="K12" s="117" t="str">
        <f t="shared" si="2"/>
        <v>Šetrný management ve školkách (K)</v>
      </c>
      <c r="L12" s="107" t="s">
        <v>377</v>
      </c>
      <c r="M12" s="107" t="str">
        <f t="shared" si="6"/>
        <v>Ekoschémata_Šetrny management ve školkách (K)</v>
      </c>
      <c r="N12" s="118">
        <f t="shared" si="3"/>
        <v>1</v>
      </c>
      <c r="O12" s="107">
        <f t="shared" si="7"/>
        <v>0</v>
      </c>
      <c r="P12" s="119">
        <f t="shared" ca="1" si="4"/>
        <v>0</v>
      </c>
      <c r="Q12" s="120" t="e">
        <f t="shared" ca="1" si="5"/>
        <v>#DIV/0!</v>
      </c>
      <c r="AB12" s="128" t="s">
        <v>67</v>
      </c>
      <c r="AM12" s="107">
        <v>11</v>
      </c>
      <c r="AN12" s="107" t="s">
        <v>405</v>
      </c>
      <c r="AO12" s="107" t="s">
        <v>66</v>
      </c>
      <c r="AP12" s="107">
        <f t="shared" ca="1" si="8"/>
        <v>13</v>
      </c>
    </row>
    <row r="13" spans="1:42" ht="16.5" thickTop="1" thickBot="1" x14ac:dyDescent="0.3">
      <c r="A13" s="105" t="s">
        <v>8</v>
      </c>
      <c r="B13" s="105" t="s">
        <v>358</v>
      </c>
      <c r="C13" s="112">
        <f ca="1">_xlfn.IFNA(IF(INDEX(INDIRECT(G13&amp;"!$D:$D"),MATCH(DB_PODPOR!$B13,INDIRECT(G13&amp;"!$H:$H"),0))="","–",INDEX(INDIRECT(G13&amp;"!$D:$D"),MATCH(DB_PODPOR!$B13,INDIRECT(G13&amp;"!$H:$H"),0))),0)</f>
        <v>0</v>
      </c>
      <c r="D13" s="113">
        <f>$E13*ROZCESTNIK!$I$3</f>
        <v>1798.5748031195433</v>
      </c>
      <c r="E13" s="113">
        <v>67.870747287529937</v>
      </c>
      <c r="F13" s="114">
        <f t="shared" si="9"/>
        <v>1798.5748031195433</v>
      </c>
      <c r="G13" s="115" t="s">
        <v>36</v>
      </c>
      <c r="H13" s="106">
        <f t="shared" ca="1" si="0"/>
        <v>6</v>
      </c>
      <c r="I13" s="116" t="s">
        <v>35</v>
      </c>
      <c r="J13" s="107">
        <f t="shared" ca="1" si="1"/>
        <v>0</v>
      </c>
      <c r="K13" s="117" t="str">
        <f t="shared" si="2"/>
        <v>Šetrný management na RRD (D)</v>
      </c>
      <c r="L13" s="107" t="s">
        <v>357</v>
      </c>
      <c r="M13" s="107" t="str">
        <f t="shared" si="6"/>
        <v>Ekoschémata_Šetrny management na RRD (D)</v>
      </c>
      <c r="N13" s="118">
        <f t="shared" si="3"/>
        <v>1</v>
      </c>
      <c r="O13" s="107">
        <f t="shared" si="7"/>
        <v>0</v>
      </c>
      <c r="P13" s="119">
        <f t="shared" ca="1" si="4"/>
        <v>0</v>
      </c>
      <c r="Q13" s="120" t="e">
        <f t="shared" ca="1" si="5"/>
        <v>#DIV/0!</v>
      </c>
      <c r="T13" s="107">
        <v>0.5</v>
      </c>
      <c r="V13" s="107" t="s">
        <v>70</v>
      </c>
      <c r="AB13" s="128" t="str">
        <f>IF(ROZCESTNIK!$F$3&gt;0,ROZCESTNIK!$F$3,100)</f>
        <v>EUR</v>
      </c>
      <c r="AM13" s="107">
        <v>12</v>
      </c>
      <c r="AN13" s="107" t="s">
        <v>68</v>
      </c>
      <c r="AO13" s="107" t="s">
        <v>69</v>
      </c>
      <c r="AP13" s="107">
        <f t="shared" ca="1" si="8"/>
        <v>16</v>
      </c>
    </row>
    <row r="14" spans="1:42" ht="15.75" thickTop="1" x14ac:dyDescent="0.25">
      <c r="A14" s="105" t="s">
        <v>39</v>
      </c>
      <c r="B14" s="105" t="s">
        <v>39</v>
      </c>
      <c r="C14" s="112">
        <f ca="1">_xlfn.IFNA(IF(INDEX(INDIRECT(G14&amp;"!$D:$D"),MATCH(DB_PODPOR!$B14,INDIRECT(G14&amp;"!$H:$H"),0))="","–",INDEX(INDIRECT(G14&amp;"!$D:$D"),MATCH(DB_PODPOR!$B14,INDIRECT(G14&amp;"!$H:$H"),0))),0)</f>
        <v>0</v>
      </c>
      <c r="D14" s="113">
        <f>$E14*ROZCESTNIK!$I$3</f>
        <v>1227.1373031246017</v>
      </c>
      <c r="E14" s="113">
        <v>46.307068042437798</v>
      </c>
      <c r="F14" s="114">
        <f t="shared" si="9"/>
        <v>1227.1373031246017</v>
      </c>
      <c r="G14" s="115" t="s">
        <v>40</v>
      </c>
      <c r="H14" s="106">
        <f t="shared" ca="1" si="0"/>
        <v>7</v>
      </c>
      <c r="I14" s="107" t="s">
        <v>35</v>
      </c>
      <c r="J14" s="107">
        <f t="shared" ca="1" si="1"/>
        <v>0</v>
      </c>
      <c r="K14" s="117" t="str">
        <f t="shared" si="2"/>
        <v>Mladí</v>
      </c>
      <c r="M14" s="107" t="str">
        <f t="shared" si="6"/>
        <v>Mladí_Mladí</v>
      </c>
      <c r="N14" s="118">
        <f t="shared" si="3"/>
        <v>1</v>
      </c>
      <c r="O14" s="107">
        <f t="shared" si="7"/>
        <v>0</v>
      </c>
      <c r="P14" s="119">
        <f t="shared" ca="1" si="4"/>
        <v>0</v>
      </c>
      <c r="Q14" s="120" t="e">
        <f t="shared" ca="1" si="5"/>
        <v>#DIV/0!</v>
      </c>
      <c r="T14" s="119">
        <v>0</v>
      </c>
      <c r="V14" s="107" t="s">
        <v>74</v>
      </c>
      <c r="AB14" s="119" t="e">
        <f>T14*T13*AB13</f>
        <v>#VALUE!</v>
      </c>
      <c r="AC14" s="119"/>
      <c r="AD14" s="119" t="s">
        <v>75</v>
      </c>
      <c r="AE14" s="119"/>
      <c r="AF14" s="119"/>
      <c r="AG14" s="119"/>
      <c r="AH14" s="119"/>
      <c r="AI14" s="119"/>
      <c r="AJ14" s="119"/>
      <c r="AK14" s="119"/>
      <c r="AM14" s="107">
        <v>13</v>
      </c>
      <c r="AN14" s="107" t="s">
        <v>71</v>
      </c>
      <c r="AO14" s="107" t="s">
        <v>72</v>
      </c>
      <c r="AP14" s="107">
        <f t="shared" ca="1" si="8"/>
        <v>14</v>
      </c>
    </row>
    <row r="15" spans="1:42" x14ac:dyDescent="0.25">
      <c r="A15" s="105" t="s">
        <v>45</v>
      </c>
      <c r="B15" s="105" t="s">
        <v>73</v>
      </c>
      <c r="C15" s="112">
        <f ca="1">_xlfn.IFNA(IF(INDEX(INDIRECT(G15&amp;"!$D:$D"),MATCH(DB_PODPOR!$B15,INDIRECT(G15&amp;"!$H:$H"),0))="","–",INDEX(INDIRECT(G15&amp;"!$D:$D"),MATCH(DB_PODPOR!$B15,INDIRECT(G15&amp;"!$H:$H"),0))),0)</f>
        <v>0</v>
      </c>
      <c r="D15" s="113">
        <f>$E15*ROZCESTNIK!$I$3</f>
        <v>1634.52</v>
      </c>
      <c r="E15" s="113">
        <v>61.68</v>
      </c>
      <c r="F15" s="114">
        <f t="shared" si="9"/>
        <v>1634.52</v>
      </c>
      <c r="G15" s="115" t="s">
        <v>11</v>
      </c>
      <c r="H15" s="106">
        <f t="shared" ca="1" si="0"/>
        <v>8</v>
      </c>
      <c r="I15" s="107" t="s">
        <v>35</v>
      </c>
      <c r="J15" s="107">
        <f t="shared" ca="1" si="1"/>
        <v>0</v>
      </c>
      <c r="K15" s="117" t="str">
        <f t="shared" si="2"/>
        <v>Bílkovinné plodiny</v>
      </c>
      <c r="L15" s="107" t="str">
        <f>IFERROR(_xlfn.CONCAT((PROPER(MID(B15,1,(FIND(" ",B15,1)-1)))),(MID(B15,FIND(" ",B15,1),(FIND(" ",B15,1)+1)))),PROPER(B15))</f>
        <v>Bílkovinné plodiny</v>
      </c>
      <c r="M15" s="107" t="str">
        <f t="shared" si="6"/>
        <v>Couplované_bílkovinné plodiny</v>
      </c>
      <c r="N15" s="118">
        <f t="shared" si="3"/>
        <v>1</v>
      </c>
      <c r="O15" s="107">
        <f t="shared" si="7"/>
        <v>0</v>
      </c>
      <c r="P15" s="119">
        <f t="shared" ca="1" si="4"/>
        <v>0</v>
      </c>
      <c r="Q15" s="120" t="e">
        <f t="shared" ca="1" si="5"/>
        <v>#DIV/0!</v>
      </c>
      <c r="S15" s="107" t="s">
        <v>79</v>
      </c>
      <c r="AM15" s="107">
        <v>14</v>
      </c>
      <c r="AN15" s="107" t="s">
        <v>76</v>
      </c>
      <c r="AO15" s="107" t="s">
        <v>77</v>
      </c>
      <c r="AP15" s="107">
        <f t="shared" ca="1" si="8"/>
        <v>15</v>
      </c>
    </row>
    <row r="16" spans="1:42" x14ac:dyDescent="0.25">
      <c r="A16" s="105" t="s">
        <v>45</v>
      </c>
      <c r="B16" s="105" t="s">
        <v>78</v>
      </c>
      <c r="C16" s="112">
        <f ca="1">_xlfn.IFNA(IF(INDEX(INDIRECT(G16&amp;"!$D:$D"),MATCH(DB_PODPOR!$B16,INDIRECT(G16&amp;"!$H:$H"),0))="","–",INDEX(INDIRECT(G16&amp;"!$D:$D"),MATCH(DB_PODPOR!$B16,INDIRECT(G16&amp;"!$H:$H"),0))),0)</f>
        <v>0</v>
      </c>
      <c r="D16" s="113">
        <f>$E16*ROZCESTNIK!$I$3</f>
        <v>7080.8741047049389</v>
      </c>
      <c r="E16" s="113">
        <v>267.20279640395995</v>
      </c>
      <c r="F16" s="114">
        <f t="shared" si="9"/>
        <v>7080.8741047049389</v>
      </c>
      <c r="G16" s="115" t="s">
        <v>11</v>
      </c>
      <c r="H16" s="106">
        <f t="shared" ca="1" si="0"/>
        <v>8</v>
      </c>
      <c r="I16" s="107" t="s">
        <v>35</v>
      </c>
      <c r="J16" s="107">
        <f t="shared" ca="1" si="1"/>
        <v>0</v>
      </c>
      <c r="K16" s="117" t="str">
        <f t="shared" si="2"/>
        <v>Cukrovka</v>
      </c>
      <c r="L16" s="107" t="str">
        <f t="shared" ref="L16:L25" si="10">IFERROR(_xlfn.CONCAT((PROPER(MID(B16,1,(FIND(" ",B16,1)-1)))),(MID(B16,FIND(" ",B16,1),(FIND(" ",B16,1)+1)))),PROPER(B16))</f>
        <v>Cukrovka</v>
      </c>
      <c r="M16" s="107" t="str">
        <f t="shared" si="6"/>
        <v>Couplované_cukrovka</v>
      </c>
      <c r="N16" s="118">
        <f t="shared" si="3"/>
        <v>1</v>
      </c>
      <c r="O16" s="107">
        <f t="shared" si="7"/>
        <v>0</v>
      </c>
      <c r="P16" s="119">
        <f t="shared" ca="1" si="4"/>
        <v>0</v>
      </c>
      <c r="Q16" s="120" t="e">
        <f t="shared" ca="1" si="5"/>
        <v>#DIV/0!</v>
      </c>
      <c r="S16" s="107">
        <v>0</v>
      </c>
      <c r="T16" s="119">
        <f ca="1">SUMIF($O$2:$O$33,S16,$P$2:$P$33)</f>
        <v>0</v>
      </c>
      <c r="AB16" s="119" t="e">
        <f ca="1">AB9+AB14+T16</f>
        <v>#VALUE!</v>
      </c>
      <c r="AM16" s="107">
        <v>15</v>
      </c>
      <c r="AN16" s="107" t="s">
        <v>80</v>
      </c>
      <c r="AO16" s="107" t="s">
        <v>81</v>
      </c>
      <c r="AP16" s="107">
        <f t="shared" ca="1" si="8"/>
        <v>17</v>
      </c>
    </row>
    <row r="17" spans="1:42" x14ac:dyDescent="0.25">
      <c r="A17" s="105" t="s">
        <v>45</v>
      </c>
      <c r="B17" s="105" t="s">
        <v>82</v>
      </c>
      <c r="C17" s="112">
        <f ca="1">_xlfn.IFNA(IF(INDEX(INDIRECT(G17&amp;"!$D:$D"),MATCH(DB_PODPOR!$B17,INDIRECT(G17&amp;"!$H:$H"),0))="","–",INDEX(INDIRECT(G17&amp;"!$D:$D"),MATCH(DB_PODPOR!$B17,INDIRECT(G17&amp;"!$H:$H"),0))),0)</f>
        <v>0</v>
      </c>
      <c r="D17" s="113">
        <f>$E17*ROZCESTNIK!$I$3</f>
        <v>0</v>
      </c>
      <c r="E17" s="113">
        <v>0</v>
      </c>
      <c r="F17" s="114">
        <f t="shared" si="9"/>
        <v>0</v>
      </c>
      <c r="G17" s="115" t="s">
        <v>11</v>
      </c>
      <c r="H17" s="106">
        <f t="shared" ca="1" si="0"/>
        <v>8</v>
      </c>
      <c r="I17" s="107" t="s">
        <v>35</v>
      </c>
      <c r="J17" s="107">
        <f t="shared" ca="1" si="1"/>
        <v>0</v>
      </c>
      <c r="K17" s="117" t="str">
        <f t="shared" si="2"/>
        <v>Konzumní brambory</v>
      </c>
      <c r="L17" s="107" t="str">
        <f t="shared" si="10"/>
        <v>Konzumní brambory</v>
      </c>
      <c r="M17" s="107" t="str">
        <f t="shared" si="6"/>
        <v>Couplované_konzumní brambory</v>
      </c>
      <c r="N17" s="118">
        <f t="shared" si="3"/>
        <v>1</v>
      </c>
      <c r="O17" s="107">
        <f t="shared" si="7"/>
        <v>0</v>
      </c>
      <c r="P17" s="119">
        <f t="shared" ca="1" si="4"/>
        <v>0</v>
      </c>
      <c r="Q17" s="120" t="e">
        <f t="shared" ca="1" si="5"/>
        <v>#DIV/0!</v>
      </c>
      <c r="AM17" s="107">
        <v>16</v>
      </c>
      <c r="AN17" s="107" t="s">
        <v>406</v>
      </c>
      <c r="AO17" s="107" t="s">
        <v>66</v>
      </c>
      <c r="AP17" s="107">
        <f t="shared" ca="1" si="8"/>
        <v>13</v>
      </c>
    </row>
    <row r="18" spans="1:42" x14ac:dyDescent="0.25">
      <c r="A18" s="105" t="s">
        <v>45</v>
      </c>
      <c r="B18" s="105" t="s">
        <v>84</v>
      </c>
      <c r="C18" s="112">
        <f ca="1">_xlfn.IFNA(IF(INDEX(INDIRECT(G18&amp;"!$D:$D"),MATCH(DB_PODPOR!$B18,INDIRECT(G18&amp;"!$H:$H"),0))="","–",INDEX(INDIRECT(G18&amp;"!$D:$D"),MATCH(DB_PODPOR!$B18,INDIRECT(G18&amp;"!$H:$H"),0))),0)</f>
        <v>0</v>
      </c>
      <c r="D18" s="113">
        <f>$E18*ROZCESTNIK!$I$3</f>
        <v>14057.346232042322</v>
      </c>
      <c r="E18" s="113">
        <v>530.46589554876687</v>
      </c>
      <c r="F18" s="114">
        <f t="shared" si="9"/>
        <v>14057.346232042322</v>
      </c>
      <c r="G18" s="115" t="s">
        <v>11</v>
      </c>
      <c r="H18" s="106">
        <f t="shared" ca="1" si="0"/>
        <v>8</v>
      </c>
      <c r="I18" s="107" t="s">
        <v>35</v>
      </c>
      <c r="J18" s="107">
        <f t="shared" ca="1" si="1"/>
        <v>0</v>
      </c>
      <c r="K18" s="117" t="str">
        <f t="shared" si="2"/>
        <v>Škrobové brambory</v>
      </c>
      <c r="L18" s="107" t="str">
        <f t="shared" si="10"/>
        <v>Škrobové brambory</v>
      </c>
      <c r="M18" s="107" t="str">
        <f t="shared" si="6"/>
        <v>Couplované_škrobové brambory</v>
      </c>
      <c r="N18" s="118">
        <f t="shared" si="3"/>
        <v>1</v>
      </c>
      <c r="O18" s="107">
        <f t="shared" si="7"/>
        <v>0</v>
      </c>
      <c r="P18" s="119">
        <f t="shared" ca="1" si="4"/>
        <v>0</v>
      </c>
      <c r="Q18" s="120" t="e">
        <f t="shared" ca="1" si="5"/>
        <v>#DIV/0!</v>
      </c>
      <c r="S18" s="107" t="s">
        <v>87</v>
      </c>
      <c r="T18" s="119" t="e">
        <f ca="1">T9+T16</f>
        <v>#VALUE!</v>
      </c>
      <c r="AM18" s="107">
        <v>17</v>
      </c>
      <c r="AN18" s="107" t="s">
        <v>85</v>
      </c>
      <c r="AO18" s="107" t="s">
        <v>69</v>
      </c>
      <c r="AP18" s="107">
        <f t="shared" ca="1" si="8"/>
        <v>16</v>
      </c>
    </row>
    <row r="19" spans="1:42" x14ac:dyDescent="0.25">
      <c r="A19" s="105" t="s">
        <v>45</v>
      </c>
      <c r="B19" s="105" t="s">
        <v>86</v>
      </c>
      <c r="C19" s="112">
        <f ca="1">_xlfn.IFNA(IF(INDEX(INDIRECT(G19&amp;"!$D:$D"),MATCH(DB_PODPOR!$B19,INDIRECT(G19&amp;"!$H:$H"),0))="","–",INDEX(INDIRECT(G19&amp;"!$D:$D"),MATCH(DB_PODPOR!$B19,INDIRECT(G19&amp;"!$H:$H"),0))),0)</f>
        <v>0</v>
      </c>
      <c r="D19" s="113">
        <f>$E19*ROZCESTNIK!$I$3</f>
        <v>9256.4626572967827</v>
      </c>
      <c r="E19" s="113">
        <v>349.30047763384084</v>
      </c>
      <c r="F19" s="114">
        <f t="shared" si="9"/>
        <v>9256.4626572967827</v>
      </c>
      <c r="G19" s="115" t="s">
        <v>11</v>
      </c>
      <c r="H19" s="106">
        <f t="shared" ca="1" si="0"/>
        <v>8</v>
      </c>
      <c r="I19" s="107" t="s">
        <v>35</v>
      </c>
      <c r="J19" s="107">
        <f t="shared" ca="1" si="1"/>
        <v>0</v>
      </c>
      <c r="K19" s="117" t="str">
        <f t="shared" si="2"/>
        <v>Ovoce VP</v>
      </c>
      <c r="L19" s="107" t="str">
        <f t="shared" si="10"/>
        <v>Ovoce VP</v>
      </c>
      <c r="M19" s="107" t="str">
        <f t="shared" si="6"/>
        <v>Couplované_ovoce VP</v>
      </c>
      <c r="N19" s="118">
        <f t="shared" si="3"/>
        <v>1</v>
      </c>
      <c r="O19" s="107">
        <f t="shared" si="7"/>
        <v>0</v>
      </c>
      <c r="P19" s="119">
        <f t="shared" ca="1" si="4"/>
        <v>0</v>
      </c>
      <c r="Q19" s="120" t="e">
        <f t="shared" ca="1" si="5"/>
        <v>#DIV/0!</v>
      </c>
      <c r="AE19" s="129">
        <v>1</v>
      </c>
      <c r="AF19" s="129">
        <v>0.9</v>
      </c>
      <c r="AG19" s="129">
        <v>0.82</v>
      </c>
      <c r="AH19" s="129">
        <v>0.78</v>
      </c>
      <c r="AI19" s="129">
        <v>0.73</v>
      </c>
      <c r="AJ19" s="129">
        <v>0.7</v>
      </c>
      <c r="AM19" s="107">
        <v>18</v>
      </c>
      <c r="AN19" s="107" t="s">
        <v>465</v>
      </c>
      <c r="AO19" s="107" t="s">
        <v>69</v>
      </c>
      <c r="AP19" s="107">
        <f t="shared" ca="1" si="8"/>
        <v>16</v>
      </c>
    </row>
    <row r="20" spans="1:42" x14ac:dyDescent="0.25">
      <c r="A20" s="105" t="s">
        <v>45</v>
      </c>
      <c r="B20" s="105" t="s">
        <v>89</v>
      </c>
      <c r="C20" s="112">
        <f ca="1">_xlfn.IFNA(IF(INDEX(INDIRECT(G20&amp;"!$D:$D"),MATCH(DB_PODPOR!$B20,INDIRECT(G20&amp;"!$H:$H"),0))="","–",INDEX(INDIRECT(G20&amp;"!$D:$D"),MATCH(DB_PODPOR!$B20,INDIRECT(G20&amp;"!$H:$H"),0))),0)</f>
        <v>0</v>
      </c>
      <c r="D20" s="113">
        <f>$E20*ROZCESTNIK!$I$3</f>
        <v>13426.623186284429</v>
      </c>
      <c r="E20" s="113">
        <v>506.6650258975256</v>
      </c>
      <c r="F20" s="114">
        <f t="shared" si="9"/>
        <v>13426.623186284429</v>
      </c>
      <c r="G20" s="115" t="s">
        <v>11</v>
      </c>
      <c r="H20" s="106">
        <f t="shared" ca="1" si="0"/>
        <v>8</v>
      </c>
      <c r="I20" s="107" t="s">
        <v>35</v>
      </c>
      <c r="J20" s="107">
        <f t="shared" ca="1" si="1"/>
        <v>0</v>
      </c>
      <c r="K20" s="117" t="str">
        <f t="shared" si="2"/>
        <v>Ovoce VVP</v>
      </c>
      <c r="L20" s="107" t="str">
        <f t="shared" si="10"/>
        <v>Ovoce VVP</v>
      </c>
      <c r="M20" s="107" t="str">
        <f t="shared" si="6"/>
        <v>Couplované_ovoce VVP</v>
      </c>
      <c r="N20" s="118">
        <f t="shared" si="3"/>
        <v>1</v>
      </c>
      <c r="O20" s="107">
        <f t="shared" si="7"/>
        <v>0</v>
      </c>
      <c r="P20" s="119">
        <f t="shared" ca="1" si="4"/>
        <v>0</v>
      </c>
      <c r="Q20" s="120" t="e">
        <f t="shared" ca="1" si="5"/>
        <v>#DIV/0!</v>
      </c>
      <c r="S20" s="107" t="s">
        <v>92</v>
      </c>
      <c r="T20" s="119">
        <f ca="1">SUM(P2:P33)</f>
        <v>0</v>
      </c>
      <c r="Z20" s="107" t="str">
        <f>ANC!$P$5</f>
        <v>ZV</v>
      </c>
      <c r="AE20" s="107">
        <f t="shared" ref="AE20:AJ20" si="11">AE22-AE21</f>
        <v>300</v>
      </c>
      <c r="AF20" s="107">
        <f t="shared" si="11"/>
        <v>200</v>
      </c>
      <c r="AG20" s="107">
        <f t="shared" si="11"/>
        <v>700</v>
      </c>
      <c r="AH20" s="107">
        <f t="shared" si="11"/>
        <v>600</v>
      </c>
      <c r="AI20" s="107">
        <f t="shared" si="11"/>
        <v>700</v>
      </c>
      <c r="AJ20" s="107">
        <f t="shared" si="11"/>
        <v>9500</v>
      </c>
      <c r="AM20" s="107">
        <v>19</v>
      </c>
      <c r="AN20" s="107" t="s">
        <v>90</v>
      </c>
      <c r="AO20" s="107" t="s">
        <v>69</v>
      </c>
      <c r="AP20" s="107">
        <f t="shared" ca="1" si="8"/>
        <v>16</v>
      </c>
    </row>
    <row r="21" spans="1:42" x14ac:dyDescent="0.25">
      <c r="A21" s="105" t="s">
        <v>45</v>
      </c>
      <c r="B21" s="105" t="s">
        <v>91</v>
      </c>
      <c r="C21" s="112">
        <f ca="1">_xlfn.IFNA(IF(INDEX(INDIRECT(G21&amp;"!$D:$D"),MATCH(DB_PODPOR!$B21,INDIRECT(G21&amp;"!$H:$H"),0))="","–",INDEX(INDIRECT(G21&amp;"!$D:$D"),MATCH(DB_PODPOR!$B21,INDIRECT(G21&amp;"!$H:$H"),0))),0)</f>
        <v>0</v>
      </c>
      <c r="D21" s="113">
        <f>$E21*ROZCESTNIK!$I$3</f>
        <v>4873.5370669677113</v>
      </c>
      <c r="E21" s="113">
        <v>183.90705913085702</v>
      </c>
      <c r="F21" s="114">
        <f t="shared" si="9"/>
        <v>4873.5370669677113</v>
      </c>
      <c r="G21" s="115" t="s">
        <v>11</v>
      </c>
      <c r="H21" s="106">
        <f t="shared" ca="1" si="0"/>
        <v>8</v>
      </c>
      <c r="I21" s="107" t="s">
        <v>35</v>
      </c>
      <c r="J21" s="107">
        <f t="shared" ca="1" si="1"/>
        <v>0</v>
      </c>
      <c r="K21" s="117" t="str">
        <f t="shared" si="2"/>
        <v>Zelenina VP</v>
      </c>
      <c r="L21" s="107" t="str">
        <f t="shared" si="10"/>
        <v>Zelenina VP</v>
      </c>
      <c r="M21" s="107" t="str">
        <f t="shared" si="6"/>
        <v>Couplované_zelenina VP</v>
      </c>
      <c r="N21" s="118">
        <f t="shared" si="3"/>
        <v>1</v>
      </c>
      <c r="O21" s="107">
        <f t="shared" si="7"/>
        <v>0</v>
      </c>
      <c r="P21" s="119">
        <f t="shared" ca="1" si="4"/>
        <v>0</v>
      </c>
      <c r="Q21" s="120" t="e">
        <f t="shared" ca="1" si="5"/>
        <v>#DIV/0!</v>
      </c>
      <c r="AE21" s="107">
        <v>0</v>
      </c>
      <c r="AF21" s="107">
        <v>300</v>
      </c>
      <c r="AG21" s="107">
        <v>500</v>
      </c>
      <c r="AH21" s="107">
        <v>1200</v>
      </c>
      <c r="AI21" s="107">
        <v>1800</v>
      </c>
      <c r="AJ21" s="107">
        <v>2500</v>
      </c>
      <c r="AM21" s="107">
        <v>20</v>
      </c>
      <c r="AN21" s="107" t="s">
        <v>94</v>
      </c>
      <c r="AO21" s="107" t="s">
        <v>95</v>
      </c>
      <c r="AP21" s="107">
        <f t="shared" ca="1" si="8"/>
        <v>18</v>
      </c>
    </row>
    <row r="22" spans="1:42" x14ac:dyDescent="0.25">
      <c r="A22" s="105" t="s">
        <v>45</v>
      </c>
      <c r="B22" s="105" t="s">
        <v>96</v>
      </c>
      <c r="C22" s="112">
        <f ca="1">_xlfn.IFNA(IF(INDEX(INDIRECT(G22&amp;"!$D:$D"),MATCH(DB_PODPOR!$B22,INDIRECT(G22&amp;"!$H:$H"),0))="","–",INDEX(INDIRECT(G22&amp;"!$D:$D"),MATCH(DB_PODPOR!$B22,INDIRECT(G22&amp;"!$H:$H"),0))),0)</f>
        <v>0</v>
      </c>
      <c r="D22" s="113">
        <f>$E22*ROZCESTNIK!$I$3</f>
        <v>13846.997529758628</v>
      </c>
      <c r="E22" s="113">
        <v>522.52820867013691</v>
      </c>
      <c r="F22" s="114">
        <f t="shared" si="9"/>
        <v>13846.997529758628</v>
      </c>
      <c r="G22" s="115" t="s">
        <v>11</v>
      </c>
      <c r="H22" s="106">
        <f t="shared" ca="1" si="0"/>
        <v>8</v>
      </c>
      <c r="I22" s="107" t="s">
        <v>35</v>
      </c>
      <c r="J22" s="107">
        <f t="shared" ca="1" si="1"/>
        <v>0</v>
      </c>
      <c r="K22" s="117" t="str">
        <f t="shared" si="2"/>
        <v>Zelenina VVP</v>
      </c>
      <c r="L22" s="107" t="str">
        <f t="shared" si="10"/>
        <v>Zelenina VVP</v>
      </c>
      <c r="M22" s="107" t="str">
        <f t="shared" si="6"/>
        <v>Couplované_zelenina VVP</v>
      </c>
      <c r="N22" s="118">
        <f t="shared" si="3"/>
        <v>1</v>
      </c>
      <c r="O22" s="107">
        <f t="shared" si="7"/>
        <v>0</v>
      </c>
      <c r="P22" s="119">
        <f t="shared" ca="1" si="4"/>
        <v>0</v>
      </c>
      <c r="Q22" s="120" t="e">
        <f t="shared" ca="1" si="5"/>
        <v>#DIV/0!</v>
      </c>
      <c r="AB22" s="107">
        <v>50</v>
      </c>
      <c r="AE22" s="107">
        <f>AF21</f>
        <v>300</v>
      </c>
      <c r="AF22" s="107">
        <f>AG21</f>
        <v>500</v>
      </c>
      <c r="AG22" s="107">
        <f>AH21</f>
        <v>1200</v>
      </c>
      <c r="AH22" s="107">
        <f>AI21</f>
        <v>1800</v>
      </c>
      <c r="AI22" s="107">
        <f>AJ21</f>
        <v>2500</v>
      </c>
      <c r="AJ22" s="107">
        <v>12000</v>
      </c>
      <c r="AM22" s="107">
        <v>21</v>
      </c>
      <c r="AN22" s="107" t="s">
        <v>19</v>
      </c>
      <c r="AO22" s="107" t="s">
        <v>97</v>
      </c>
      <c r="AP22" s="107">
        <f t="shared" ca="1" si="8"/>
        <v>19</v>
      </c>
    </row>
    <row r="23" spans="1:42" x14ac:dyDescent="0.25">
      <c r="A23" s="105" t="s">
        <v>45</v>
      </c>
      <c r="B23" s="105" t="s">
        <v>98</v>
      </c>
      <c r="C23" s="112">
        <f ca="1">_xlfn.IFNA(IF(INDEX(INDIRECT(G23&amp;"!$D:$D"),MATCH(DB_PODPOR!$B23,INDIRECT(G23&amp;"!$H:$H"),0))="","–",INDEX(INDIRECT(G23&amp;"!$D:$D"),MATCH(DB_PODPOR!$B23,INDIRECT(G23&amp;"!$H:$H"),0))),0)</f>
        <v>0</v>
      </c>
      <c r="D23" s="113">
        <f>$E23*ROZCESTNIK!$I$3</f>
        <v>15445.701227958609</v>
      </c>
      <c r="E23" s="113">
        <v>582.85665011164565</v>
      </c>
      <c r="F23" s="114">
        <f t="shared" si="9"/>
        <v>15445.701227958609</v>
      </c>
      <c r="G23" s="115" t="s">
        <v>11</v>
      </c>
      <c r="H23" s="106">
        <f t="shared" ca="1" si="0"/>
        <v>8</v>
      </c>
      <c r="I23" s="107" t="s">
        <v>35</v>
      </c>
      <c r="J23" s="107">
        <f t="shared" ca="1" si="1"/>
        <v>0</v>
      </c>
      <c r="K23" s="117" t="str">
        <f t="shared" si="2"/>
        <v>Chmel</v>
      </c>
      <c r="L23" s="107" t="str">
        <f t="shared" si="10"/>
        <v>Chmel</v>
      </c>
      <c r="M23" s="107" t="str">
        <f t="shared" si="6"/>
        <v>Couplované_chmel</v>
      </c>
      <c r="N23" s="118">
        <f t="shared" si="3"/>
        <v>1</v>
      </c>
      <c r="O23" s="107">
        <f t="shared" si="7"/>
        <v>0</v>
      </c>
      <c r="P23" s="119">
        <f t="shared" ca="1" si="4"/>
        <v>0</v>
      </c>
      <c r="Q23" s="120" t="e">
        <f t="shared" ca="1" si="5"/>
        <v>#DIV/0!</v>
      </c>
      <c r="AM23" s="107">
        <v>22</v>
      </c>
      <c r="AN23" s="107" t="s">
        <v>99</v>
      </c>
      <c r="AO23" s="107" t="s">
        <v>100</v>
      </c>
      <c r="AP23" s="107">
        <f t="shared" ca="1" si="8"/>
        <v>20</v>
      </c>
    </row>
    <row r="24" spans="1:42" x14ac:dyDescent="0.25">
      <c r="A24" s="105" t="s">
        <v>45</v>
      </c>
      <c r="B24" s="105" t="s">
        <v>101</v>
      </c>
      <c r="C24" s="112">
        <f ca="1">_xlfn.IFNA(IF(INDEX(INDIRECT(G24&amp;"!$D:$D"),MATCH(DB_PODPOR!$B24,INDIRECT(G24&amp;"!$H:$H"),0))="","–",INDEX(INDIRECT(G24&amp;"!$D:$D"),MATCH(DB_PODPOR!$B24,INDIRECT(G24&amp;"!$H:$H"),0))),0)</f>
        <v>0</v>
      </c>
      <c r="D24" s="113">
        <f>$E24*ROZCESTNIK!$I$3</f>
        <v>3405.78</v>
      </c>
      <c r="E24" s="113">
        <v>128.52000000000001</v>
      </c>
      <c r="F24" s="114">
        <f t="shared" si="9"/>
        <v>3405.78</v>
      </c>
      <c r="G24" s="115" t="s">
        <v>11</v>
      </c>
      <c r="H24" s="106">
        <f t="shared" ca="1" si="0"/>
        <v>8</v>
      </c>
      <c r="I24" s="107" t="s">
        <v>35</v>
      </c>
      <c r="J24" s="107">
        <f t="shared" ca="1" si="1"/>
        <v>0</v>
      </c>
      <c r="K24" s="117" t="str">
        <f t="shared" si="2"/>
        <v>Masná telata</v>
      </c>
      <c r="L24" s="107" t="str">
        <f t="shared" si="10"/>
        <v>Masná telata</v>
      </c>
      <c r="M24" s="107" t="str">
        <f t="shared" si="6"/>
        <v>Couplované_masná telata</v>
      </c>
      <c r="N24" s="118">
        <f t="shared" si="3"/>
        <v>1</v>
      </c>
      <c r="O24" s="107">
        <f t="shared" si="7"/>
        <v>0</v>
      </c>
      <c r="P24" s="119">
        <f t="shared" ca="1" si="4"/>
        <v>0</v>
      </c>
      <c r="Q24" s="120" t="e">
        <f t="shared" ca="1" si="5"/>
        <v>#DIV/0!</v>
      </c>
      <c r="Z24" s="129">
        <f t="shared" ref="Z24:Z32" si="12">SUMIF($B$34:$B$51,$AD24&amp;"_"&amp;$Z$20,$D$34:$D$51)</f>
        <v>5724</v>
      </c>
      <c r="AA24" s="129">
        <f ca="1">SUMIF($B$34:$B$51,$AD24&amp;"_"&amp;$Z$20,$C$34:$C$51)</f>
        <v>0</v>
      </c>
      <c r="AB24" s="130">
        <f ca="1">SUMIF($B$34:$B$51,$AD24&amp;"_"&amp;$Z$20,$C$34:$C$51)</f>
        <v>0</v>
      </c>
      <c r="AD24" s="107" t="s">
        <v>105</v>
      </c>
      <c r="AE24" s="131">
        <f ca="1">IF($AB24-SUM(($AD24:AD24))&gt;AE$20-SUM(AE23:AE$23),AE$20-SUM(AE23:AE$23),$AB24-SUM(($AD24:AD24)))</f>
        <v>0</v>
      </c>
      <c r="AF24" s="131">
        <f ca="1">IF($AB24-SUM(($AD24:AE24))&gt;AF$20-SUM(AF23:AF$23),AF$20-SUM(AF23:AF$23),$AB24-SUM(($AD24:AE24)))</f>
        <v>0</v>
      </c>
      <c r="AG24" s="131">
        <f ca="1">IF($AB24-SUM(($AD24:AF24))&gt;AG$20-SUM(AG23:AG$23),AG$20-SUM(AG23:AG$23),$AB24-SUM(($AD24:AF24)))</f>
        <v>0</v>
      </c>
      <c r="AH24" s="131">
        <f ca="1">IF($AB24-SUM(($AD24:AG24))&gt;AH$20-SUM(AH23:AH$23),AH$20-SUM(AH23:AH$23),$AB24-SUM(($AD24:AG24)))</f>
        <v>0</v>
      </c>
      <c r="AI24" s="131">
        <f ca="1">IF($AB24-SUM(($AD24:AH24))&gt;AI$20-SUM(AI23:AI$23),AI$20-SUM(AI23:AI$23),$AB24-SUM(($AD24:AH24)))</f>
        <v>0</v>
      </c>
      <c r="AJ24" s="131">
        <f ca="1">IF($AB24-SUM(($AD24:AI24))&gt;AJ$20-SUM(AJ23:AJ$23),AJ$20-SUM(AJ23:AJ$23),$AB24-SUM(($AD24:AI24)))</f>
        <v>0</v>
      </c>
      <c r="AM24" s="107">
        <v>23</v>
      </c>
      <c r="AN24" s="107" t="s">
        <v>102</v>
      </c>
      <c r="AO24" s="107" t="s">
        <v>103</v>
      </c>
      <c r="AP24" s="107">
        <f t="shared" ca="1" si="8"/>
        <v>21</v>
      </c>
    </row>
    <row r="25" spans="1:42" x14ac:dyDescent="0.25">
      <c r="A25" s="105" t="s">
        <v>45</v>
      </c>
      <c r="B25" s="105" t="s">
        <v>104</v>
      </c>
      <c r="C25" s="112">
        <f ca="1">_xlfn.IFNA(IF(INDEX(INDIRECT(G25&amp;"!$D:$D"),MATCH(DB_PODPOR!$B25,INDIRECT(G25&amp;"!$H:$H"),0))="","–",INDEX(INDIRECT(G25&amp;"!$D:$D"),MATCH(DB_PODPOR!$B25,INDIRECT(G25&amp;"!$H:$H"),0))),0)</f>
        <v>0</v>
      </c>
      <c r="D25" s="113">
        <f>$E25*ROZCESTNIK!$I$3</f>
        <v>3684.854384070079</v>
      </c>
      <c r="E25" s="113">
        <v>139.05110883283317</v>
      </c>
      <c r="F25" s="114">
        <f t="shared" si="9"/>
        <v>3684.854384070079</v>
      </c>
      <c r="G25" s="115" t="s">
        <v>11</v>
      </c>
      <c r="H25" s="106">
        <f t="shared" ca="1" si="0"/>
        <v>8</v>
      </c>
      <c r="I25" s="107" t="s">
        <v>35</v>
      </c>
      <c r="J25" s="107">
        <f t="shared" ca="1" si="1"/>
        <v>0</v>
      </c>
      <c r="K25" s="117" t="str">
        <f t="shared" si="2"/>
        <v>Dojnice</v>
      </c>
      <c r="L25" s="107" t="str">
        <f t="shared" si="10"/>
        <v>Dojnice</v>
      </c>
      <c r="M25" s="107" t="str">
        <f t="shared" si="6"/>
        <v>Couplované_dojnice</v>
      </c>
      <c r="N25" s="118">
        <f t="shared" si="3"/>
        <v>1</v>
      </c>
      <c r="O25" s="107">
        <f t="shared" si="7"/>
        <v>0</v>
      </c>
      <c r="P25" s="119">
        <f t="shared" ca="1" si="4"/>
        <v>0</v>
      </c>
      <c r="Q25" s="120" t="e">
        <f t="shared" ca="1" si="5"/>
        <v>#DIV/0!</v>
      </c>
      <c r="Z25" s="129">
        <f t="shared" si="12"/>
        <v>5379.5</v>
      </c>
      <c r="AA25" s="129">
        <f t="shared" ref="AA25:AA32" ca="1" si="13">SUMIF($B$34:$B$51,$AD25&amp;"_"&amp;$Z$20,$C$34:$C$51)</f>
        <v>0</v>
      </c>
      <c r="AB25" s="130">
        <f t="shared" ref="AB25:AB32" ca="1" si="14">SUMIF($B$34:$B$51,$AD25&amp;"_"&amp;$Z$20,$C$34:$C$51)</f>
        <v>0</v>
      </c>
      <c r="AD25" s="107" t="s">
        <v>109</v>
      </c>
      <c r="AE25" s="131">
        <f ca="1">IF($AB25-SUM(($AD25:AD25))&gt;AE$20-SUM(AE$23:AE24),AE$20-SUM(AE$23:AE24),$AB25-SUM(($AD25:AD25)))</f>
        <v>0</v>
      </c>
      <c r="AF25" s="131">
        <f ca="1">IF($AB25-SUM(($AD25:AE25))&gt;AF$20-SUM(AF$23:AF24),AF$20-SUM(AF$23:AF24),$AB25-SUM(($AD25:AE25)))</f>
        <v>0</v>
      </c>
      <c r="AG25" s="131">
        <f ca="1">IF($AB25-SUM(($AD25:AF25))&gt;AG$20-SUM(AG$23:AG24),AG$20-SUM(AG$23:AG24),$AB25-SUM(($AD25:AF25)))</f>
        <v>0</v>
      </c>
      <c r="AH25" s="131">
        <f ca="1">IF($AB25-SUM(($AD25:AG25))&gt;AH$20-SUM(AH$23:AH24),AH$20-SUM(AH$23:AH24),$AB25-SUM(($AD25:AG25)))</f>
        <v>0</v>
      </c>
      <c r="AI25" s="131">
        <f ca="1">IF($AB25-SUM(($AD25:AH25))&gt;AI$20-SUM(AI$23:AI24),AI$20-SUM(AI$23:AI24),$AB25-SUM(($AD25:AH25)))</f>
        <v>0</v>
      </c>
      <c r="AJ25" s="131">
        <f ca="1">IF($AB25-SUM(($AD25:AI25))&gt;AJ$20-SUM(AJ$23:AJ24),AJ$20-SUM(AJ$23:AJ24),$AB25-SUM(($AD25:AI25)))</f>
        <v>0</v>
      </c>
      <c r="AM25" s="107">
        <v>24</v>
      </c>
      <c r="AN25" s="107" t="s">
        <v>466</v>
      </c>
      <c r="AO25" s="107" t="s">
        <v>107</v>
      </c>
      <c r="AP25" s="107">
        <f t="shared" ca="1" si="8"/>
        <v>22</v>
      </c>
    </row>
    <row r="26" spans="1:42" x14ac:dyDescent="0.25">
      <c r="A26" s="105" t="s">
        <v>45</v>
      </c>
      <c r="B26" s="105" t="s">
        <v>108</v>
      </c>
      <c r="C26" s="112">
        <f ca="1">_xlfn.IFNA(IF(INDEX(INDIRECT(G26&amp;"!$D:$D"),MATCH(DB_PODPOR!$B26,INDIRECT(G26&amp;"!$H:$H"),0))="","–",INDEX(INDIRECT(G26&amp;"!$D:$D"),MATCH(DB_PODPOR!$B26,INDIRECT(G26&amp;"!$H:$H"),0))),0)</f>
        <v>0</v>
      </c>
      <c r="D26" s="113">
        <f>$E26*ROZCESTNIK!$I$3</f>
        <v>551.995</v>
      </c>
      <c r="E26" s="113">
        <v>20.83</v>
      </c>
      <c r="F26" s="114">
        <f t="shared" si="9"/>
        <v>551.995</v>
      </c>
      <c r="G26" s="115" t="s">
        <v>11</v>
      </c>
      <c r="H26" s="106">
        <f t="shared" ca="1" si="0"/>
        <v>8</v>
      </c>
      <c r="I26" s="107" t="s">
        <v>35</v>
      </c>
      <c r="J26" s="107">
        <f t="shared" ca="1" si="1"/>
        <v>0</v>
      </c>
      <c r="K26" s="117" t="str">
        <f t="shared" si="2"/>
        <v>Pasené ovce a kozy</v>
      </c>
      <c r="L26" s="107" t="str">
        <f>IFERROR(_xlfn.CONCAT((PROPER(MID(B26,1,(FIND(" ",B26,1)-1)))),(MID(B26,FIND(" ",B26,1),(FIND(" ",B26,1)+5)))),PROPER(B26))</f>
        <v>Pasené ovce a kozy</v>
      </c>
      <c r="M26" s="107" t="str">
        <f t="shared" si="6"/>
        <v>Couplované_pasené ovce a kozy</v>
      </c>
      <c r="N26" s="118">
        <f t="shared" si="3"/>
        <v>1</v>
      </c>
      <c r="O26" s="107">
        <f t="shared" si="7"/>
        <v>0</v>
      </c>
      <c r="P26" s="119">
        <f t="shared" ca="1" si="4"/>
        <v>0</v>
      </c>
      <c r="Q26" s="120" t="e">
        <f t="shared" ca="1" si="5"/>
        <v>#DIV/0!</v>
      </c>
      <c r="Z26" s="129">
        <f t="shared" si="12"/>
        <v>4584.5</v>
      </c>
      <c r="AA26" s="129">
        <f t="shared" ca="1" si="13"/>
        <v>0</v>
      </c>
      <c r="AB26" s="130">
        <f t="shared" ca="1" si="14"/>
        <v>0</v>
      </c>
      <c r="AD26" s="132" t="s">
        <v>113</v>
      </c>
      <c r="AE26" s="131">
        <f ca="1">IF($AB26-SUM(($AD26:AD26))&gt;AE$20-SUM(AE$23:AE25),AE$20-SUM(AE$23:AE25),$AB26-SUM(($AD26:AD26)))</f>
        <v>0</v>
      </c>
      <c r="AF26" s="131">
        <f ca="1">IF($AB26-SUM(($AD26:AE26))&gt;AF$20-SUM(AF$23:AF25),AF$20-SUM(AF$23:AF25),$AB26-SUM(($AD26:AE26)))</f>
        <v>0</v>
      </c>
      <c r="AG26" s="131">
        <f ca="1">IF($AB26-SUM(($AD26:AF26))&gt;AG$20-SUM(AG$23:AG25),AG$20-SUM(AG$23:AG25),$AB26-SUM(($AD26:AF26)))</f>
        <v>0</v>
      </c>
      <c r="AH26" s="131">
        <f ca="1">IF($AB26-SUM(($AD26:AG26))&gt;AH$20-SUM(AH$23:AH25),AH$20-SUM(AH$23:AH25),$AB26-SUM(($AD26:AG26)))</f>
        <v>0</v>
      </c>
      <c r="AI26" s="131">
        <f ca="1">IF($AB26-SUM(($AD26:AH26))&gt;AI$20-SUM(AI$23:AI25),AI$20-SUM(AI$23:AI25),$AB26-SUM(($AD26:AH26)))</f>
        <v>0</v>
      </c>
      <c r="AJ26" s="131">
        <f ca="1">IF($AB26-SUM(($AD26:AI26))&gt;AJ$20-SUM(AJ$23:AJ25),AJ$20-SUM(AJ$23:AJ25),$AB26-SUM(($AD26:AI26)))</f>
        <v>0</v>
      </c>
      <c r="AM26" s="107">
        <v>25</v>
      </c>
      <c r="AN26" s="107" t="s">
        <v>110</v>
      </c>
      <c r="AO26" s="107" t="s">
        <v>111</v>
      </c>
      <c r="AP26" s="107">
        <f t="shared" ca="1" si="8"/>
        <v>23</v>
      </c>
    </row>
    <row r="27" spans="1:42" x14ac:dyDescent="0.25">
      <c r="A27" s="105" t="s">
        <v>45</v>
      </c>
      <c r="B27" s="105" t="s">
        <v>112</v>
      </c>
      <c r="C27" s="112">
        <f ca="1">_xlfn.IFNA(IF(INDEX(INDIRECT(G27&amp;"!$D:$D"),MATCH(DB_PODPOR!$B27,INDIRECT(G27&amp;"!$H:$H"),0))="","–",INDEX(INDIRECT(G27&amp;"!$D:$D"),MATCH(DB_PODPOR!$B27,INDIRECT(G27&amp;"!$H:$H"),0))),0)</f>
        <v>0</v>
      </c>
      <c r="D27" s="113">
        <f>$E27*ROZCESTNIK!$I$3</f>
        <v>0</v>
      </c>
      <c r="E27" s="113">
        <v>0</v>
      </c>
      <c r="F27" s="114">
        <f t="shared" si="9"/>
        <v>0</v>
      </c>
      <c r="G27" s="115" t="s">
        <v>11</v>
      </c>
      <c r="H27" s="106">
        <f t="shared" ca="1" si="0"/>
        <v>8</v>
      </c>
      <c r="I27" s="107" t="s">
        <v>35</v>
      </c>
      <c r="J27" s="107">
        <f t="shared" ca="1" si="1"/>
        <v>0</v>
      </c>
      <c r="K27" s="117" t="str">
        <f t="shared" si="2"/>
        <v>Trávy na semeno</v>
      </c>
      <c r="L27" s="107" t="str">
        <f>IFERROR(_xlfn.CONCAT((PROPER(MID(B27,1,(FIND(" ",B27,1)-1)))),(MID(B27,FIND(" ",B27,1),(FIND(" ",B27,1)+5)))),PROPER(B27))</f>
        <v>Trávy na semeno</v>
      </c>
      <c r="M27" s="107" t="str">
        <f t="shared" si="6"/>
        <v>Couplované_trávy na semeno</v>
      </c>
      <c r="N27" s="118">
        <f t="shared" si="3"/>
        <v>1</v>
      </c>
      <c r="O27" s="107">
        <f t="shared" si="7"/>
        <v>0</v>
      </c>
      <c r="P27" s="119">
        <f t="shared" ca="1" si="4"/>
        <v>0</v>
      </c>
      <c r="Q27" s="120" t="e">
        <f t="shared" ca="1" si="5"/>
        <v>#DIV/0!</v>
      </c>
      <c r="Z27" s="129">
        <f t="shared" si="12"/>
        <v>3789.5</v>
      </c>
      <c r="AA27" s="129">
        <f t="shared" ca="1" si="13"/>
        <v>0</v>
      </c>
      <c r="AB27" s="130">
        <f t="shared" ca="1" si="14"/>
        <v>0</v>
      </c>
      <c r="AD27" s="132" t="s">
        <v>116</v>
      </c>
      <c r="AE27" s="131">
        <f ca="1">IF($AB27-SUM(($AD27:AD27))&gt;AE$20-SUM(AE$23:AE26),AE$20-SUM(AE$23:AE26),$AB27-SUM(($AD27:AD27)))</f>
        <v>0</v>
      </c>
      <c r="AF27" s="131">
        <f ca="1">IF($AB27-SUM(($AD27:AE27))&gt;AF$20-SUM(AF$23:AF26),AF$20-SUM(AF$23:AF26),$AB27-SUM(($AD27:AE27)))</f>
        <v>0</v>
      </c>
      <c r="AG27" s="131">
        <f ca="1">IF($AB27-SUM(($AD27:AF27))&gt;AG$20-SUM(AG$23:AG26),AG$20-SUM(AG$23:AG26),$AB27-SUM(($AD27:AF27)))</f>
        <v>0</v>
      </c>
      <c r="AH27" s="131">
        <f ca="1">IF($AB27-SUM(($AD27:AG27))&gt;AH$20-SUM(AH$23:AH26),AH$20-SUM(AH$23:AH26),$AB27-SUM(($AD27:AG27)))</f>
        <v>0</v>
      </c>
      <c r="AI27" s="131">
        <f ca="1">IF($AB27-SUM(($AD27:AH27))&gt;AI$20-SUM(AI$23:AI26),AI$20-SUM(AI$23:AI26),$AB27-SUM(($AD27:AH27)))</f>
        <v>0</v>
      </c>
      <c r="AJ27" s="131">
        <f ca="1">IF($AB27-SUM(($AD27:AI27))&gt;AJ$20-SUM(AJ$23:AJ26),AJ$20-SUM(AJ$23:AJ26),$AB27-SUM(($AD27:AI27)))</f>
        <v>0</v>
      </c>
      <c r="AM27" s="107">
        <v>26</v>
      </c>
      <c r="AN27" s="107" t="s">
        <v>114</v>
      </c>
      <c r="AP27" s="107" t="e">
        <f t="shared" ca="1" si="8"/>
        <v>#N/A</v>
      </c>
    </row>
    <row r="28" spans="1:42" x14ac:dyDescent="0.25">
      <c r="A28" s="105" t="s">
        <v>45</v>
      </c>
      <c r="B28" s="105" t="s">
        <v>115</v>
      </c>
      <c r="C28" s="112">
        <f ca="1">_xlfn.IFNA(IF(INDEX(INDIRECT(G28&amp;"!$D:$D"),MATCH(DB_PODPOR!$B28,INDIRECT(G28&amp;"!$H:$H"),0))="","–",INDEX(INDIRECT(G28&amp;"!$D:$D"),MATCH(DB_PODPOR!$B28,INDIRECT(G28&amp;"!$H:$H"),0))),0)</f>
        <v>0</v>
      </c>
      <c r="D28" s="113">
        <f>$E28*ROZCESTNIK!$I$3</f>
        <v>0</v>
      </c>
      <c r="E28" s="113">
        <v>0</v>
      </c>
      <c r="F28" s="114">
        <f t="shared" si="9"/>
        <v>0</v>
      </c>
      <c r="G28" s="115" t="s">
        <v>11</v>
      </c>
      <c r="H28" s="106">
        <f t="shared" ca="1" si="0"/>
        <v>8</v>
      </c>
      <c r="I28" s="107" t="s">
        <v>35</v>
      </c>
      <c r="J28" s="107">
        <f t="shared" ca="1" si="1"/>
        <v>0</v>
      </c>
      <c r="K28" s="117" t="str">
        <f t="shared" ref="K28:K33" si="15">IF(L28="",B28,L28)</f>
        <v>Konopí</v>
      </c>
      <c r="L28" s="107" t="str">
        <f>IFERROR(_xlfn.CONCAT((PROPER(MID(B28,1,(FIND(" ",B28,1)-1)))),(MID(B28,FIND(" ",B28,1),(FIND(" ",B28,1)+5)))),PROPER(B28))</f>
        <v>Konopí</v>
      </c>
      <c r="M28" s="107" t="str">
        <f t="shared" si="6"/>
        <v>Couplované_konopí</v>
      </c>
      <c r="N28" s="118">
        <f t="shared" si="3"/>
        <v>1</v>
      </c>
      <c r="O28" s="107">
        <f t="shared" si="7"/>
        <v>0</v>
      </c>
      <c r="P28" s="119">
        <f t="shared" ca="1" si="4"/>
        <v>0</v>
      </c>
      <c r="Q28" s="120" t="e">
        <f t="shared" ca="1" si="5"/>
        <v>#DIV/0!</v>
      </c>
      <c r="Z28" s="129">
        <f t="shared" si="12"/>
        <v>3445</v>
      </c>
      <c r="AA28" s="129">
        <f t="shared" ca="1" si="13"/>
        <v>0</v>
      </c>
      <c r="AB28" s="130">
        <f t="shared" ca="1" si="14"/>
        <v>0</v>
      </c>
      <c r="AD28" s="107" t="s">
        <v>119</v>
      </c>
      <c r="AE28" s="131">
        <f ca="1">IF($AB28-SUM(($AD28:AD28))&gt;AE$20-SUM(AE$23:AE27),AE$20-SUM(AE$23:AE27),$AB28-SUM(($AD28:AD28)))</f>
        <v>0</v>
      </c>
      <c r="AF28" s="131">
        <f ca="1">IF($AB28-SUM(($AD28:AE28))&gt;AF$20-SUM(AF$23:AF27),AF$20-SUM(AF$23:AF27),$AB28-SUM(($AD28:AE28)))</f>
        <v>0</v>
      </c>
      <c r="AG28" s="131">
        <f ca="1">IF($AB28-SUM(($AD28:AF28))&gt;AG$20-SUM(AG$23:AG27),AG$20-SUM(AG$23:AG27),$AB28-SUM(($AD28:AF28)))</f>
        <v>0</v>
      </c>
      <c r="AH28" s="131">
        <f ca="1">IF($AB28-SUM(($AD28:AG28))&gt;AH$20-SUM(AH$23:AH27),AH$20-SUM(AH$23:AH27),$AB28-SUM(($AD28:AG28)))</f>
        <v>0</v>
      </c>
      <c r="AI28" s="131">
        <f ca="1">IF($AB28-SUM(($AD28:AH28))&gt;AI$20-SUM(AI$23:AI27),AI$20-SUM(AI$23:AI27),$AB28-SUM(($AD28:AH28)))</f>
        <v>0</v>
      </c>
      <c r="AJ28" s="131">
        <f ca="1">IF($AB28-SUM(($AD28:AI28))&gt;AJ$20-SUM(AJ$23:AJ27),AJ$20-SUM(AJ$23:AJ27),$AB28-SUM(($AD28:AI28)))</f>
        <v>0</v>
      </c>
      <c r="AM28" s="107">
        <v>27</v>
      </c>
      <c r="AN28" s="107" t="s">
        <v>117</v>
      </c>
      <c r="AP28" s="107" t="e">
        <f t="shared" ca="1" si="8"/>
        <v>#N/A</v>
      </c>
    </row>
    <row r="29" spans="1:42" x14ac:dyDescent="0.25">
      <c r="A29" s="105" t="s">
        <v>45</v>
      </c>
      <c r="B29" s="105" t="s">
        <v>118</v>
      </c>
      <c r="C29" s="112">
        <f ca="1">_xlfn.IFNA(IF(INDEX(INDIRECT(G29&amp;"!$D:$D"),MATCH(DB_PODPOR!$B29,INDIRECT(G29&amp;"!$H:$H"),0))="","–",INDEX(INDIRECT(G29&amp;"!$D:$D"),MATCH(DB_PODPOR!$B29,INDIRECT(G29&amp;"!$H:$H"),0))),0)</f>
        <v>0</v>
      </c>
      <c r="D29" s="113">
        <f>$E29*ROZCESTNIK!$I$3</f>
        <v>0</v>
      </c>
      <c r="E29" s="113">
        <v>0</v>
      </c>
      <c r="F29" s="114">
        <f t="shared" si="9"/>
        <v>0</v>
      </c>
      <c r="G29" s="115" t="s">
        <v>11</v>
      </c>
      <c r="H29" s="106">
        <f t="shared" ca="1" si="0"/>
        <v>8</v>
      </c>
      <c r="I29" s="107" t="s">
        <v>35</v>
      </c>
      <c r="J29" s="107">
        <f t="shared" ca="1" si="1"/>
        <v>0</v>
      </c>
      <c r="K29" s="117" t="str">
        <f t="shared" si="15"/>
        <v>Len</v>
      </c>
      <c r="L29" s="107" t="str">
        <f>IFERROR(_xlfn.CONCAT((PROPER(MID(B29,1,(FIND(" ",B29,1)-1)))),(MID(B29,FIND(" ",B29,1),(FIND(" ",B29,1)+5)))),PROPER(B29))</f>
        <v>Len</v>
      </c>
      <c r="M29" s="107" t="str">
        <f t="shared" si="6"/>
        <v>Couplované_len</v>
      </c>
      <c r="N29" s="118">
        <f t="shared" si="3"/>
        <v>1</v>
      </c>
      <c r="O29" s="107">
        <f t="shared" si="7"/>
        <v>0</v>
      </c>
      <c r="P29" s="119">
        <f t="shared" ca="1" si="4"/>
        <v>0</v>
      </c>
      <c r="Q29" s="120" t="e">
        <f t="shared" ca="1" si="5"/>
        <v>#DIV/0!</v>
      </c>
      <c r="Z29" s="129">
        <f t="shared" si="12"/>
        <v>3339</v>
      </c>
      <c r="AA29" s="129">
        <f t="shared" ca="1" si="13"/>
        <v>0</v>
      </c>
      <c r="AB29" s="130">
        <f t="shared" ca="1" si="14"/>
        <v>0</v>
      </c>
      <c r="AD29" s="107" t="s">
        <v>123</v>
      </c>
      <c r="AE29" s="131">
        <f ca="1">IF($AB29-SUM(($AD29:AD29))&gt;AE$20-SUM(AE$23:AE28),AE$20-SUM(AE$23:AE28),$AB29-SUM(($AD29:AD29)))</f>
        <v>0</v>
      </c>
      <c r="AF29" s="131">
        <f ca="1">IF($AB29-SUM(($AD29:AE29))&gt;AF$20-SUM(AF$23:AF28),AF$20-SUM(AF$23:AF28),$AB29-SUM(($AD29:AE29)))</f>
        <v>0</v>
      </c>
      <c r="AG29" s="131">
        <f ca="1">IF($AB29-SUM(($AD29:AF29))&gt;AG$20-SUM(AG$23:AG28),AG$20-SUM(AG$23:AG28),$AB29-SUM(($AD29:AF29)))</f>
        <v>0</v>
      </c>
      <c r="AH29" s="131">
        <f ca="1">IF($AB29-SUM(($AD29:AG29))&gt;AH$20-SUM(AH$23:AH28),AH$20-SUM(AH$23:AH28),$AB29-SUM(($AD29:AG29)))</f>
        <v>0</v>
      </c>
      <c r="AI29" s="131">
        <f ca="1">IF($AB29-SUM(($AD29:AH29))&gt;AI$20-SUM(AI$23:AI28),AI$20-SUM(AI$23:AI28),$AB29-SUM(($AD29:AH29)))</f>
        <v>0</v>
      </c>
      <c r="AJ29" s="131">
        <f ca="1">IF($AB29-SUM(($AD29:AI29))&gt;AJ$20-SUM(AJ$23:AJ28),AJ$20-SUM(AJ$23:AJ28),$AB29-SUM(($AD29:AI29)))</f>
        <v>0</v>
      </c>
      <c r="AM29" s="107">
        <v>28</v>
      </c>
      <c r="AN29" s="107" t="s">
        <v>120</v>
      </c>
      <c r="AP29" s="107" t="e">
        <f t="shared" ca="1" si="8"/>
        <v>#N/A</v>
      </c>
    </row>
    <row r="30" spans="1:42" x14ac:dyDescent="0.25">
      <c r="A30" s="105" t="s">
        <v>370</v>
      </c>
      <c r="B30" s="105" t="s">
        <v>370</v>
      </c>
      <c r="C30" s="112">
        <f ca="1">_xlfn.IFNA(IF(INDEX(INDIRECT(G30&amp;"!$D:$D"),MATCH(DB_PODPOR!$B30,INDIRECT(G30&amp;"!$H:$H"),0))="","–",INDEX(INDIRECT(G30&amp;"!$D:$D"),MATCH(DB_PODPOR!$B30,INDIRECT(G30&amp;"!$H:$H"),0))),0)</f>
        <v>0</v>
      </c>
      <c r="D30" s="113">
        <f>$E30*ROZCESTNIK!$I$3</f>
        <v>8281.25</v>
      </c>
      <c r="E30" s="113">
        <v>312.5</v>
      </c>
      <c r="F30" s="114">
        <f t="shared" si="9"/>
        <v>8281.25</v>
      </c>
      <c r="G30" s="115" t="s">
        <v>374</v>
      </c>
      <c r="H30" s="106">
        <f t="shared" ca="1" si="0"/>
        <v>9</v>
      </c>
      <c r="I30" s="107" t="s">
        <v>35</v>
      </c>
      <c r="J30" s="107">
        <f t="shared" ca="1" si="1"/>
        <v>0</v>
      </c>
      <c r="K30" s="117" t="str">
        <f t="shared" si="15"/>
        <v>Malý subjekt</v>
      </c>
      <c r="L30" s="107" t="str">
        <f>IFERROR(_xlfn.CONCAT((PROPER(MID(B30,1,(FIND(" ",B30,1)-1)))),(MID(B30,FIND(" ",B30,1),(FIND(" ",B30,1)+5)))),PROPER(B30))</f>
        <v>Malý subjekt</v>
      </c>
      <c r="M30" s="107" t="str">
        <f t="shared" si="6"/>
        <v>Malý subjekt_Malý subjekt</v>
      </c>
      <c r="N30" s="118">
        <f t="shared" si="3"/>
        <v>1</v>
      </c>
      <c r="O30" s="107">
        <f t="shared" si="7"/>
        <v>0</v>
      </c>
      <c r="P30" s="119">
        <f t="shared" ca="1" si="4"/>
        <v>0</v>
      </c>
      <c r="Q30" s="120" t="e">
        <f t="shared" ca="1" si="5"/>
        <v>#DIV/0!</v>
      </c>
      <c r="T30" s="107" t="s">
        <v>127</v>
      </c>
      <c r="Z30" s="129">
        <f t="shared" si="12"/>
        <v>2623.5</v>
      </c>
      <c r="AA30" s="129">
        <f t="shared" ca="1" si="13"/>
        <v>0</v>
      </c>
      <c r="AB30" s="130">
        <f t="shared" ca="1" si="14"/>
        <v>0</v>
      </c>
      <c r="AD30" s="107" t="s">
        <v>128</v>
      </c>
      <c r="AE30" s="131">
        <f ca="1">IF($AB30-SUM(($AD30:AD30))&gt;AE$20-SUM(AE$23:AE29),AE$20-SUM(AE$23:AE29),$AB30-SUM(($AD30:AD30)))</f>
        <v>0</v>
      </c>
      <c r="AF30" s="131">
        <f ca="1">IF($AB30-SUM(($AD30:AE30))&gt;AF$20-SUM(AF$23:AF29),AF$20-SUM(AF$23:AF29),$AB30-SUM(($AD30:AE30)))</f>
        <v>0</v>
      </c>
      <c r="AG30" s="131">
        <f ca="1">IF($AB30-SUM(($AD30:AF30))&gt;AG$20-SUM(AG$23:AG29),AG$20-SUM(AG$23:AG29),$AB30-SUM(($AD30:AF30)))</f>
        <v>0</v>
      </c>
      <c r="AH30" s="131">
        <f ca="1">IF($AB30-SUM(($AD30:AG30))&gt;AH$20-SUM(AH$23:AH29),AH$20-SUM(AH$23:AH29),$AB30-SUM(($AD30:AG30)))</f>
        <v>0</v>
      </c>
      <c r="AI30" s="131">
        <f ca="1">IF($AB30-SUM(($AD30:AH30))&gt;AI$20-SUM(AI$23:AI29),AI$20-SUM(AI$23:AI29),$AB30-SUM(($AD30:AH30)))</f>
        <v>0</v>
      </c>
      <c r="AJ30" s="131">
        <f ca="1">IF($AB30-SUM(($AD30:AI30))&gt;AJ$20-SUM(AJ$23:AJ29),AJ$20-SUM(AJ$23:AJ29),$AB30-SUM(($AD30:AI30)))</f>
        <v>0</v>
      </c>
      <c r="AM30" s="107">
        <v>29</v>
      </c>
      <c r="AN30" s="107" t="s">
        <v>124</v>
      </c>
      <c r="AP30" s="107" t="e">
        <f t="shared" ca="1" si="8"/>
        <v>#N/A</v>
      </c>
    </row>
    <row r="31" spans="1:42" x14ac:dyDescent="0.25">
      <c r="A31" s="133" t="s">
        <v>7</v>
      </c>
      <c r="B31" s="133" t="s">
        <v>121</v>
      </c>
      <c r="C31" s="112">
        <f ca="1">_xlfn.IFNA(IF(INDEX(INDIRECT(G31&amp;"!$D:$D"),MATCH(DB_PODPOR!$B31,INDIRECT(G31&amp;"!$H:$H"),0))="","–",INDEX(INDIRECT(G31&amp;"!$D:$D"),MATCH(DB_PODPOR!$B31,INDIRECT(G31&amp;"!$H:$H"),0))),0)</f>
        <v>0</v>
      </c>
      <c r="D31" s="113">
        <f>$E31*ROZCESTNIK!$I$3</f>
        <v>4041.2157773209428</v>
      </c>
      <c r="E31" s="113">
        <v>152.49870857814878</v>
      </c>
      <c r="F31" s="114">
        <f t="shared" si="9"/>
        <v>4041.2157773209428</v>
      </c>
      <c r="G31" s="115" t="s">
        <v>47</v>
      </c>
      <c r="H31" s="106">
        <f t="shared" ca="1" si="0"/>
        <v>5</v>
      </c>
      <c r="I31" s="116" t="s">
        <v>35</v>
      </c>
      <c r="J31" s="107">
        <f t="shared" ca="1" si="1"/>
        <v>0</v>
      </c>
      <c r="K31" s="117" t="s">
        <v>7</v>
      </c>
      <c r="L31" s="107" t="s">
        <v>122</v>
      </c>
      <c r="M31" s="107" t="str">
        <f t="shared" si="6"/>
        <v>Redistributivní platba_Redistribuční platba 1</v>
      </c>
      <c r="N31" s="118">
        <f t="shared" si="3"/>
        <v>1</v>
      </c>
      <c r="O31" s="107">
        <f t="shared" si="7"/>
        <v>0</v>
      </c>
      <c r="P31" s="119">
        <f t="shared" ca="1" si="4"/>
        <v>0</v>
      </c>
      <c r="Q31" s="120" t="e">
        <f t="shared" ca="1" si="5"/>
        <v>#DIV/0!</v>
      </c>
      <c r="T31" s="107" t="str">
        <f>SAPS!B5</f>
        <v>Přímé platby</v>
      </c>
      <c r="Z31" s="129">
        <f t="shared" si="12"/>
        <v>1961</v>
      </c>
      <c r="AA31" s="129">
        <f t="shared" ca="1" si="13"/>
        <v>0</v>
      </c>
      <c r="AB31" s="130">
        <f t="shared" ca="1" si="14"/>
        <v>0</v>
      </c>
      <c r="AD31" s="107" t="s">
        <v>132</v>
      </c>
      <c r="AE31" s="131">
        <f ca="1">IF($AB31-SUM(($AD31:AD31))&gt;AE$20-SUM(AE$23:AE30),AE$20-SUM(AE$23:AE30),$AB31-SUM(($AD31:AD31)))</f>
        <v>0</v>
      </c>
      <c r="AF31" s="131">
        <f ca="1">IF($AB31-SUM(($AD31:AE31))&gt;AF$20-SUM(AF$23:AF30),AF$20-SUM(AF$23:AF30),$AB31-SUM(($AD31:AE31)))</f>
        <v>0</v>
      </c>
      <c r="AG31" s="131">
        <f ca="1">IF($AB31-SUM(($AD31:AF31))&gt;AG$20-SUM(AG$23:AG30),AG$20-SUM(AG$23:AG30),$AB31-SUM(($AD31:AF31)))</f>
        <v>0</v>
      </c>
      <c r="AH31" s="131">
        <f ca="1">IF($AB31-SUM(($AD31:AG31))&gt;AH$20-SUM(AH$23:AH30),AH$20-SUM(AH$23:AH30),$AB31-SUM(($AD31:AG31)))</f>
        <v>0</v>
      </c>
      <c r="AI31" s="131">
        <f ca="1">IF($AB31-SUM(($AD31:AH31))&gt;AI$20-SUM(AI$23:AI30),AI$20-SUM(AI$23:AI30),$AB31-SUM(($AD31:AH31)))</f>
        <v>0</v>
      </c>
      <c r="AJ31" s="131">
        <f ca="1">IF($AB31-SUM(($AD31:AI31))&gt;AJ$20-SUM(AJ$23:AJ30),AJ$20-SUM(AJ$23:AJ30),$AB31-SUM(($AD31:AI31)))</f>
        <v>0</v>
      </c>
      <c r="AM31" s="107">
        <v>30</v>
      </c>
      <c r="AN31" s="107" t="s">
        <v>129</v>
      </c>
      <c r="AP31" s="107" t="e">
        <f t="shared" ca="1" si="8"/>
        <v>#N/A</v>
      </c>
    </row>
    <row r="32" spans="1:42" x14ac:dyDescent="0.25">
      <c r="A32" s="133" t="s">
        <v>7</v>
      </c>
      <c r="B32" s="133" t="s">
        <v>125</v>
      </c>
      <c r="C32" s="112">
        <f ca="1">_xlfn.IFNA(IF(INDEX(INDIRECT(G32&amp;"!$D:$D"),MATCH(DB_PODPOR!$B32,INDIRECT(G32&amp;"!$H:$H"),0))="","–",INDEX(INDIRECT(G32&amp;"!$D:$D"),MATCH(DB_PODPOR!$B32,INDIRECT(G32&amp;"!$H:$H"),0))),0)</f>
        <v>0</v>
      </c>
      <c r="D32" s="113">
        <f>$E32*ROZCESTNIK!$I$3</f>
        <v>4041.2157773209428</v>
      </c>
      <c r="E32" s="113">
        <v>152.49870857814878</v>
      </c>
      <c r="F32" s="114">
        <f t="shared" si="9"/>
        <v>4041.2157773209428</v>
      </c>
      <c r="G32" s="115" t="s">
        <v>47</v>
      </c>
      <c r="H32" s="106">
        <f t="shared" ca="1" si="0"/>
        <v>5</v>
      </c>
      <c r="I32" s="116" t="s">
        <v>35</v>
      </c>
      <c r="J32" s="107">
        <f t="shared" ca="1" si="1"/>
        <v>0</v>
      </c>
      <c r="K32" s="117" t="str">
        <f t="shared" si="15"/>
        <v>Pásmo 2</v>
      </c>
      <c r="L32" s="107" t="s">
        <v>126</v>
      </c>
      <c r="M32" s="107" t="str">
        <f t="shared" si="6"/>
        <v>Redistributivní platba_Redistribuční platba 2</v>
      </c>
      <c r="N32" s="118">
        <f t="shared" si="3"/>
        <v>1</v>
      </c>
      <c r="O32" s="107">
        <f t="shared" si="7"/>
        <v>0</v>
      </c>
      <c r="P32" s="119">
        <f t="shared" ca="1" si="4"/>
        <v>0</v>
      </c>
      <c r="Q32" s="120" t="e">
        <f t="shared" ca="1" si="5"/>
        <v>#DIV/0!</v>
      </c>
      <c r="T32" s="107" t="str" cm="1">
        <f t="array" aca="1" ref="T32" ca="1">INDIRECT("SAPS!B5")</f>
        <v>Přímé platby</v>
      </c>
      <c r="Z32" s="129">
        <f t="shared" si="12"/>
        <v>1722.5</v>
      </c>
      <c r="AA32" s="129">
        <f t="shared" ca="1" si="13"/>
        <v>0</v>
      </c>
      <c r="AB32" s="130">
        <f t="shared" ca="1" si="14"/>
        <v>0</v>
      </c>
      <c r="AD32" s="107" t="s">
        <v>137</v>
      </c>
      <c r="AE32" s="131">
        <f ca="1">IF($AB32-SUM(($AD32:AD32))&gt;AE$20-SUM(AE$23:AE31),AE$20-SUM(AE$23:AE31),$AB32-SUM(($AD32:AD32)))</f>
        <v>0</v>
      </c>
      <c r="AF32" s="131">
        <f ca="1">IF($AB32-SUM(($AD32:AE32))&gt;AF$20-SUM(AF$23:AF31),AF$20-SUM(AF$23:AF31),$AB32-SUM(($AD32:AE32)))</f>
        <v>0</v>
      </c>
      <c r="AG32" s="131">
        <f ca="1">IF($AB32-SUM(($AD32:AF32))&gt;AG$20-SUM(AG$23:AG31),AG$20-SUM(AG$23:AG31),$AB32-SUM(($AD32:AF32)))</f>
        <v>0</v>
      </c>
      <c r="AH32" s="131">
        <f ca="1">IF($AB32-SUM(($AD32:AG32))&gt;AH$20-SUM(AH$23:AH31),AH$20-SUM(AH$23:AH31),$AB32-SUM(($AD32:AG32)))</f>
        <v>0</v>
      </c>
      <c r="AI32" s="131">
        <f ca="1">IF($AB32-SUM(($AD32:AH32))&gt;AI$20-SUM(AI$23:AI31),AI$20-SUM(AI$23:AI31),$AB32-SUM(($AD32:AH32)))</f>
        <v>0</v>
      </c>
      <c r="AJ32" s="131">
        <f ca="1">IF($AB32-SUM(($AD32:AI32))&gt;AJ$20-SUM(AJ$23:AJ31),AJ$20-SUM(AJ$23:AJ31),$AB32-SUM(($AD32:AI32)))</f>
        <v>0</v>
      </c>
      <c r="AM32" s="107">
        <v>31</v>
      </c>
      <c r="AN32" s="107" t="s">
        <v>133</v>
      </c>
      <c r="AP32" s="107" t="e">
        <f t="shared" ca="1" si="8"/>
        <v>#N/A</v>
      </c>
    </row>
    <row r="33" spans="1:42" x14ac:dyDescent="0.25">
      <c r="A33" s="133" t="s">
        <v>7</v>
      </c>
      <c r="B33" s="133" t="s">
        <v>130</v>
      </c>
      <c r="C33" s="112">
        <f ca="1">_xlfn.IFNA(IF(INDEX(INDIRECT(G33&amp;"!$D:$D"),MATCH(DB_PODPOR!$B33,INDIRECT(G33&amp;"!$H:$H"),0))="","–",INDEX(INDIRECT(G33&amp;"!$D:$D"),MATCH(DB_PODPOR!$B33,INDIRECT(G33&amp;"!$H:$H"),0))),0)</f>
        <v>0</v>
      </c>
      <c r="D33" s="113">
        <f>$E33*ROZCESTNIK!$I$3</f>
        <v>4041.2157773209428</v>
      </c>
      <c r="E33" s="113">
        <v>152.49870857814878</v>
      </c>
      <c r="F33" s="114">
        <f t="shared" si="9"/>
        <v>4041.2157773209428</v>
      </c>
      <c r="G33" s="115" t="s">
        <v>47</v>
      </c>
      <c r="H33" s="106">
        <f t="shared" ca="1" si="0"/>
        <v>5</v>
      </c>
      <c r="I33" s="116" t="s">
        <v>35</v>
      </c>
      <c r="J33" s="107">
        <f t="shared" ca="1" si="1"/>
        <v>0</v>
      </c>
      <c r="K33" s="117" t="str">
        <f t="shared" si="15"/>
        <v>Pásmo 3</v>
      </c>
      <c r="L33" s="107" t="s">
        <v>131</v>
      </c>
      <c r="M33" s="107" t="str">
        <f t="shared" si="6"/>
        <v>Redistributivní platba_Redistribuční platba 3</v>
      </c>
      <c r="N33" s="118">
        <f t="shared" si="3"/>
        <v>1</v>
      </c>
      <c r="O33" s="107">
        <f t="shared" si="7"/>
        <v>0</v>
      </c>
      <c r="P33" s="119">
        <f t="shared" ca="1" si="4"/>
        <v>0</v>
      </c>
      <c r="Q33" s="120" t="e">
        <f t="shared" ca="1" si="5"/>
        <v>#DIV/0!</v>
      </c>
      <c r="AM33" s="107">
        <v>32</v>
      </c>
      <c r="AN33" s="107" t="s">
        <v>138</v>
      </c>
      <c r="AP33" s="107" t="e">
        <f t="shared" ca="1" si="8"/>
        <v>#N/A</v>
      </c>
    </row>
    <row r="34" spans="1:42" x14ac:dyDescent="0.25">
      <c r="A34" s="105" t="s">
        <v>50</v>
      </c>
      <c r="B34" s="105" t="s">
        <v>134</v>
      </c>
      <c r="C34" s="112">
        <f ca="1">_xlfn.IFNA(IF(INDEX(INDIRECT(G34&amp;"!$D:$D"),MATCH(DB_PODPOR!$B34,INDIRECT(G34&amp;"!$H:$H"),0))="","–",INDEX(INDIRECT(G34&amp;"!$D:$D"),MATCH(DB_PODPOR!$B34,INDIRECT(G34&amp;"!$H:$H"),0))),0)</f>
        <v>0</v>
      </c>
      <c r="D34" s="113">
        <f>$E34*ROZCESTNIK!$I$3</f>
        <v>5724</v>
      </c>
      <c r="E34" s="113">
        <v>216</v>
      </c>
      <c r="F34" s="114">
        <f t="shared" ref="F34:F51" ca="1" si="16">D34*N34</f>
        <v>5724</v>
      </c>
      <c r="G34" s="134" t="s">
        <v>51</v>
      </c>
      <c r="H34" s="106">
        <f t="shared" ca="1" si="0"/>
        <v>10</v>
      </c>
      <c r="I34" s="107" t="s">
        <v>135</v>
      </c>
      <c r="J34" s="107">
        <f t="shared" ref="J34:J65" ca="1" si="17">IFERROR(C34*F34,0)</f>
        <v>0</v>
      </c>
      <c r="K34" s="117" t="str">
        <f t="shared" ref="K34:K74" si="18">IF(L34="",B34,L34)</f>
        <v>H1 - živočišná výroba</v>
      </c>
      <c r="L34" s="107" t="s">
        <v>136</v>
      </c>
      <c r="M34" s="107" t="str">
        <f t="shared" si="6"/>
        <v>ANC - ŽV_H1_ZV</v>
      </c>
      <c r="N34" s="118">
        <f ca="1">IF(C34=0,1,INDEX($AM$37:$AM$45,MATCH(O34,$AD$24:$AD$32,0)))</f>
        <v>1</v>
      </c>
      <c r="O34" s="107" t="s">
        <v>105</v>
      </c>
      <c r="Q34" s="127"/>
      <c r="AE34" s="135">
        <f t="shared" ref="AE34:AJ34" ca="1" si="19">SUM(AE24:AE32)</f>
        <v>0</v>
      </c>
      <c r="AF34" s="135">
        <f t="shared" ca="1" si="19"/>
        <v>0</v>
      </c>
      <c r="AG34" s="135">
        <f t="shared" ca="1" si="19"/>
        <v>0</v>
      </c>
      <c r="AH34" s="135">
        <f t="shared" ca="1" si="19"/>
        <v>0</v>
      </c>
      <c r="AI34" s="135">
        <f t="shared" ca="1" si="19"/>
        <v>0</v>
      </c>
      <c r="AJ34" s="135">
        <f t="shared" ca="1" si="19"/>
        <v>0</v>
      </c>
      <c r="AM34" s="107">
        <v>33</v>
      </c>
      <c r="AN34" s="107" t="s">
        <v>141</v>
      </c>
      <c r="AP34" s="107" t="e">
        <f t="shared" ca="1" si="8"/>
        <v>#N/A</v>
      </c>
    </row>
    <row r="35" spans="1:42" x14ac:dyDescent="0.25">
      <c r="A35" s="105" t="s">
        <v>50</v>
      </c>
      <c r="B35" s="105" t="s">
        <v>139</v>
      </c>
      <c r="C35" s="112">
        <f ca="1">_xlfn.IFNA(IF(INDEX(INDIRECT(G35&amp;"!$D:$D"),MATCH(DB_PODPOR!$B35,INDIRECT(G35&amp;"!$H:$H"),0))="","–",INDEX(INDIRECT(G35&amp;"!$D:$D"),MATCH(DB_PODPOR!$B35,INDIRECT(G35&amp;"!$H:$H"),0))),0)</f>
        <v>0</v>
      </c>
      <c r="D35" s="113">
        <f>$E35*ROZCESTNIK!$I$3</f>
        <v>5379.5</v>
      </c>
      <c r="E35" s="113">
        <v>203</v>
      </c>
      <c r="F35" s="114">
        <f t="shared" ca="1" si="16"/>
        <v>5379.5</v>
      </c>
      <c r="G35" s="134" t="s">
        <v>51</v>
      </c>
      <c r="H35" s="106">
        <f t="shared" ca="1" si="0"/>
        <v>10</v>
      </c>
      <c r="I35" s="107" t="s">
        <v>135</v>
      </c>
      <c r="J35" s="107">
        <f t="shared" ca="1" si="17"/>
        <v>0</v>
      </c>
      <c r="K35" s="117" t="str">
        <f t="shared" si="18"/>
        <v>H2 - živočišná výroba</v>
      </c>
      <c r="L35" s="107" t="s">
        <v>140</v>
      </c>
      <c r="M35" s="107" t="str">
        <f t="shared" si="6"/>
        <v>ANC - ŽV_H2_ZV</v>
      </c>
      <c r="N35" s="118">
        <f t="shared" ref="N35:N51" ca="1" si="20">IF(C35=0,1,INDEX($AM$37:$AM$45,MATCH(O35,$AD$24:$AD$32,0)))</f>
        <v>1</v>
      </c>
      <c r="O35" s="107" t="s">
        <v>109</v>
      </c>
      <c r="T35" s="107" t="str" cm="1">
        <f t="array" aca="1" ref="T35" ca="1">INDIRECT(T37&amp;"!"&amp;T38)</f>
        <v>Přímé platby</v>
      </c>
      <c r="AB35" s="136">
        <f>SUMIF($O$34:$O$51,$AD35,$C$34:$C$51)</f>
        <v>0</v>
      </c>
      <c r="AM35" s="107">
        <v>34</v>
      </c>
      <c r="AN35" s="107" t="s">
        <v>144</v>
      </c>
      <c r="AP35" s="107" t="e">
        <f t="shared" ca="1" si="8"/>
        <v>#N/A</v>
      </c>
    </row>
    <row r="36" spans="1:42" x14ac:dyDescent="0.25">
      <c r="A36" s="105" t="s">
        <v>50</v>
      </c>
      <c r="B36" s="105" t="s">
        <v>142</v>
      </c>
      <c r="C36" s="112">
        <f ca="1">_xlfn.IFNA(IF(INDEX(INDIRECT(G36&amp;"!$D:$D"),MATCH(DB_PODPOR!$B36,INDIRECT(G36&amp;"!$H:$H"),0))="","–",INDEX(INDIRECT(G36&amp;"!$D:$D"),MATCH(DB_PODPOR!$B36,INDIRECT(G36&amp;"!$H:$H"),0))),0)</f>
        <v>0</v>
      </c>
      <c r="D36" s="113">
        <f>$E36*ROZCESTNIK!$I$3</f>
        <v>3789.5</v>
      </c>
      <c r="E36" s="113">
        <v>143</v>
      </c>
      <c r="F36" s="114">
        <f t="shared" ca="1" si="16"/>
        <v>3789.5</v>
      </c>
      <c r="G36" s="134" t="s">
        <v>51</v>
      </c>
      <c r="H36" s="106">
        <f t="shared" ca="1" si="0"/>
        <v>10</v>
      </c>
      <c r="I36" s="107" t="s">
        <v>135</v>
      </c>
      <c r="J36" s="107">
        <f t="shared" ca="1" si="17"/>
        <v>0</v>
      </c>
      <c r="K36" s="117" t="str">
        <f t="shared" si="18"/>
        <v>H3 - živočišná výroba</v>
      </c>
      <c r="L36" s="107" t="s">
        <v>143</v>
      </c>
      <c r="M36" s="107" t="str">
        <f t="shared" si="6"/>
        <v>ANC - ŽV_H3_ZV</v>
      </c>
      <c r="N36" s="118">
        <f t="shared" ca="1" si="20"/>
        <v>1</v>
      </c>
      <c r="O36" s="107" t="s">
        <v>116</v>
      </c>
      <c r="Z36" s="137" t="s">
        <v>149</v>
      </c>
    </row>
    <row r="37" spans="1:42" x14ac:dyDescent="0.25">
      <c r="A37" s="105" t="s">
        <v>50</v>
      </c>
      <c r="B37" s="105" t="s">
        <v>145</v>
      </c>
      <c r="C37" s="112">
        <f ca="1">_xlfn.IFNA(IF(INDEX(INDIRECT(G37&amp;"!$D:$D"),MATCH(DB_PODPOR!$B37,INDIRECT(G37&amp;"!$H:$H"),0))="","–",INDEX(INDIRECT(G37&amp;"!$D:$D"),MATCH(DB_PODPOR!$B37,INDIRECT(G37&amp;"!$H:$H"),0))),0)</f>
        <v>0</v>
      </c>
      <c r="D37" s="113">
        <f>$E37*ROZCESTNIK!$I$3</f>
        <v>4584.5</v>
      </c>
      <c r="E37" s="113">
        <v>173</v>
      </c>
      <c r="F37" s="114">
        <f t="shared" ca="1" si="16"/>
        <v>4584.5</v>
      </c>
      <c r="G37" s="134" t="s">
        <v>51</v>
      </c>
      <c r="H37" s="106">
        <f t="shared" ca="1" si="0"/>
        <v>10</v>
      </c>
      <c r="I37" s="107" t="s">
        <v>135</v>
      </c>
      <c r="J37" s="107">
        <f t="shared" ca="1" si="17"/>
        <v>0</v>
      </c>
      <c r="K37" s="117" t="str">
        <f t="shared" si="18"/>
        <v>H4 - živočišná výroba</v>
      </c>
      <c r="L37" s="107" t="s">
        <v>146</v>
      </c>
      <c r="M37" s="107" t="str">
        <f t="shared" si="6"/>
        <v>ANC - ŽV_H4_ZV</v>
      </c>
      <c r="N37" s="118">
        <f t="shared" ca="1" si="20"/>
        <v>1</v>
      </c>
      <c r="O37" s="107" t="s">
        <v>113</v>
      </c>
      <c r="T37" s="107" t="s">
        <v>6</v>
      </c>
      <c r="Z37" s="137">
        <f ca="1">Z24*AB24</f>
        <v>0</v>
      </c>
      <c r="AA37" s="137"/>
      <c r="AB37" s="137">
        <f ca="1">SUMPRODUCT(Z24:Z32,AB24:AB32)</f>
        <v>0</v>
      </c>
      <c r="AD37" s="137"/>
      <c r="AE37" s="138">
        <f t="shared" ref="AE37:AJ42" ca="1" si="21">$Z24*AE24*AE$19</f>
        <v>0</v>
      </c>
      <c r="AF37" s="138">
        <f t="shared" ca="1" si="21"/>
        <v>0</v>
      </c>
      <c r="AG37" s="138">
        <f t="shared" ca="1" si="21"/>
        <v>0</v>
      </c>
      <c r="AH37" s="138">
        <f t="shared" ca="1" si="21"/>
        <v>0</v>
      </c>
      <c r="AI37" s="138">
        <f t="shared" ca="1" si="21"/>
        <v>0</v>
      </c>
      <c r="AJ37" s="138">
        <f t="shared" ca="1" si="21"/>
        <v>0</v>
      </c>
      <c r="AL37" s="139">
        <f ca="1">IF(SUM(AE24:AJ24)=0,0,SUM(AE37:AJ37)/SUM(AE24:AJ24))</f>
        <v>0</v>
      </c>
      <c r="AM37" s="107">
        <f ca="1">AL37/Z24</f>
        <v>0</v>
      </c>
    </row>
    <row r="38" spans="1:42" x14ac:dyDescent="0.25">
      <c r="A38" s="105" t="s">
        <v>50</v>
      </c>
      <c r="B38" s="105" t="s">
        <v>147</v>
      </c>
      <c r="C38" s="112">
        <f ca="1">_xlfn.IFNA(IF(INDEX(INDIRECT(G38&amp;"!$D:$D"),MATCH(DB_PODPOR!$B38,INDIRECT(G38&amp;"!$H:$H"),0))="","–",INDEX(INDIRECT(G38&amp;"!$D:$D"),MATCH(DB_PODPOR!$B38,INDIRECT(G38&amp;"!$H:$H"),0))),0)</f>
        <v>0</v>
      </c>
      <c r="D38" s="113">
        <f>$E38*ROZCESTNIK!$I$3</f>
        <v>3445</v>
      </c>
      <c r="E38" s="113">
        <v>130</v>
      </c>
      <c r="F38" s="114">
        <f t="shared" ca="1" si="16"/>
        <v>3445</v>
      </c>
      <c r="G38" s="134" t="s">
        <v>51</v>
      </c>
      <c r="H38" s="106">
        <f t="shared" ref="H38:H79" ca="1" si="22">INDEX($AP$2:$AP$34,MATCH($A38,$AN$2:$AN$34,0))</f>
        <v>10</v>
      </c>
      <c r="I38" s="107" t="s">
        <v>135</v>
      </c>
      <c r="J38" s="107">
        <f t="shared" ca="1" si="17"/>
        <v>0</v>
      </c>
      <c r="K38" s="117" t="str">
        <f t="shared" si="18"/>
        <v>H5 - živočišná výroba</v>
      </c>
      <c r="L38" s="107" t="s">
        <v>148</v>
      </c>
      <c r="M38" s="107" t="str">
        <f t="shared" si="6"/>
        <v>ANC - ŽV_H5_ZV</v>
      </c>
      <c r="N38" s="118">
        <f t="shared" ca="1" si="20"/>
        <v>1</v>
      </c>
      <c r="O38" s="107" t="s">
        <v>119</v>
      </c>
      <c r="T38" s="107" t="s">
        <v>154</v>
      </c>
      <c r="Z38" s="137">
        <f ca="1">Z25*AB25</f>
        <v>0</v>
      </c>
      <c r="AA38" s="137"/>
      <c r="AB38" s="137"/>
      <c r="AD38" s="137"/>
      <c r="AE38" s="138">
        <f t="shared" ca="1" si="21"/>
        <v>0</v>
      </c>
      <c r="AF38" s="138">
        <f t="shared" ca="1" si="21"/>
        <v>0</v>
      </c>
      <c r="AG38" s="138">
        <f t="shared" ca="1" si="21"/>
        <v>0</v>
      </c>
      <c r="AH38" s="138">
        <f t="shared" ca="1" si="21"/>
        <v>0</v>
      </c>
      <c r="AI38" s="138">
        <f t="shared" ca="1" si="21"/>
        <v>0</v>
      </c>
      <c r="AJ38" s="138">
        <f t="shared" ca="1" si="21"/>
        <v>0</v>
      </c>
      <c r="AL38" s="139">
        <f t="shared" ref="AL38:AL45" ca="1" si="23">IF(SUM(AE25:AJ25)=0,0,SUM(AE38:AJ38)/SUM(AE25:AJ25))</f>
        <v>0</v>
      </c>
      <c r="AM38" s="107">
        <f t="shared" ref="AM38:AM45" ca="1" si="24">AL38/Z25</f>
        <v>0</v>
      </c>
    </row>
    <row r="39" spans="1:42" x14ac:dyDescent="0.25">
      <c r="A39" s="105" t="s">
        <v>50</v>
      </c>
      <c r="B39" s="105" t="s">
        <v>150</v>
      </c>
      <c r="C39" s="112">
        <f ca="1">_xlfn.IFNA(IF(INDEX(INDIRECT(G39&amp;"!$D:$D"),MATCH(DB_PODPOR!$B39,INDIRECT(G39&amp;"!$H:$H"),0))="","–",INDEX(INDIRECT(G39&amp;"!$D:$D"),MATCH(DB_PODPOR!$B39,INDIRECT(G39&amp;"!$H:$H"),0))),0)</f>
        <v>0</v>
      </c>
      <c r="D39" s="113">
        <f>$E39*ROZCESTNIK!$I$3</f>
        <v>3339</v>
      </c>
      <c r="E39" s="113">
        <v>126</v>
      </c>
      <c r="F39" s="114">
        <f t="shared" ca="1" si="16"/>
        <v>3339</v>
      </c>
      <c r="G39" s="134" t="s">
        <v>51</v>
      </c>
      <c r="H39" s="106">
        <f t="shared" ca="1" si="22"/>
        <v>10</v>
      </c>
      <c r="I39" s="107" t="s">
        <v>135</v>
      </c>
      <c r="J39" s="107">
        <f t="shared" ca="1" si="17"/>
        <v>0</v>
      </c>
      <c r="K39" s="117" t="str">
        <f t="shared" si="18"/>
        <v>O1 - živočišná výroba</v>
      </c>
      <c r="L39" s="107" t="s">
        <v>151</v>
      </c>
      <c r="M39" s="107" t="str">
        <f t="shared" si="6"/>
        <v>ANC - ŽV_O1_ZV</v>
      </c>
      <c r="N39" s="118">
        <f t="shared" ca="1" si="20"/>
        <v>1</v>
      </c>
      <c r="O39" s="107" t="s">
        <v>123</v>
      </c>
      <c r="Z39" s="137">
        <f ca="1">Z26*AB26</f>
        <v>0</v>
      </c>
      <c r="AA39" s="137"/>
      <c r="AB39" s="137"/>
      <c r="AD39" s="137"/>
      <c r="AE39" s="138">
        <f t="shared" ca="1" si="21"/>
        <v>0</v>
      </c>
      <c r="AF39" s="138">
        <f t="shared" ca="1" si="21"/>
        <v>0</v>
      </c>
      <c r="AG39" s="138">
        <f t="shared" ca="1" si="21"/>
        <v>0</v>
      </c>
      <c r="AH39" s="138">
        <f t="shared" ca="1" si="21"/>
        <v>0</v>
      </c>
      <c r="AI39" s="138">
        <f t="shared" ca="1" si="21"/>
        <v>0</v>
      </c>
      <c r="AJ39" s="138">
        <f t="shared" ca="1" si="21"/>
        <v>0</v>
      </c>
      <c r="AL39" s="139">
        <f t="shared" ca="1" si="23"/>
        <v>0</v>
      </c>
      <c r="AM39" s="107">
        <f t="shared" ca="1" si="24"/>
        <v>0</v>
      </c>
    </row>
    <row r="40" spans="1:42" x14ac:dyDescent="0.25">
      <c r="A40" s="105" t="s">
        <v>50</v>
      </c>
      <c r="B40" s="105" t="s">
        <v>152</v>
      </c>
      <c r="C40" s="112">
        <f ca="1">_xlfn.IFNA(IF(INDEX(INDIRECT(G40&amp;"!$D:$D"),MATCH(DB_PODPOR!$B40,INDIRECT(G40&amp;"!$H:$H"),0))="","–",INDEX(INDIRECT(G40&amp;"!$D:$D"),MATCH(DB_PODPOR!$B40,INDIRECT(G40&amp;"!$H:$H"),0))),0)</f>
        <v>0</v>
      </c>
      <c r="D40" s="113">
        <f>$E40*ROZCESTNIK!$I$3</f>
        <v>2623.5</v>
      </c>
      <c r="E40" s="113">
        <v>99</v>
      </c>
      <c r="F40" s="114">
        <f t="shared" ca="1" si="16"/>
        <v>2623.5</v>
      </c>
      <c r="G40" s="134" t="s">
        <v>51</v>
      </c>
      <c r="H40" s="106">
        <f t="shared" ca="1" si="22"/>
        <v>10</v>
      </c>
      <c r="I40" s="107" t="s">
        <v>135</v>
      </c>
      <c r="J40" s="107">
        <f t="shared" ca="1" si="17"/>
        <v>0</v>
      </c>
      <c r="K40" s="117" t="str">
        <f t="shared" si="18"/>
        <v>O2 - živočišná výroba</v>
      </c>
      <c r="L40" s="107" t="s">
        <v>153</v>
      </c>
      <c r="M40" s="107" t="str">
        <f t="shared" si="6"/>
        <v>ANC - ŽV_O2_ZV</v>
      </c>
      <c r="N40" s="118">
        <f t="shared" ca="1" si="20"/>
        <v>1</v>
      </c>
      <c r="O40" s="107" t="s">
        <v>128</v>
      </c>
      <c r="Z40" s="137"/>
      <c r="AA40" s="137"/>
      <c r="AB40" s="137"/>
      <c r="AE40" s="138">
        <f t="shared" ca="1" si="21"/>
        <v>0</v>
      </c>
      <c r="AF40" s="138">
        <f t="shared" ca="1" si="21"/>
        <v>0</v>
      </c>
      <c r="AG40" s="138">
        <f t="shared" ca="1" si="21"/>
        <v>0</v>
      </c>
      <c r="AH40" s="138">
        <f t="shared" ca="1" si="21"/>
        <v>0</v>
      </c>
      <c r="AI40" s="138">
        <f t="shared" ca="1" si="21"/>
        <v>0</v>
      </c>
      <c r="AJ40" s="138">
        <f t="shared" ca="1" si="21"/>
        <v>0</v>
      </c>
      <c r="AL40" s="139">
        <f t="shared" ca="1" si="23"/>
        <v>0</v>
      </c>
      <c r="AM40" s="107">
        <f t="shared" ca="1" si="24"/>
        <v>0</v>
      </c>
    </row>
    <row r="41" spans="1:42" x14ac:dyDescent="0.25">
      <c r="A41" s="105" t="s">
        <v>50</v>
      </c>
      <c r="B41" s="105" t="s">
        <v>155</v>
      </c>
      <c r="C41" s="112">
        <f ca="1">_xlfn.IFNA(IF(INDEX(INDIRECT(G41&amp;"!$D:$D"),MATCH(DB_PODPOR!$B41,INDIRECT(G41&amp;"!$H:$H"),0))="","–",INDEX(INDIRECT(G41&amp;"!$D:$D"),MATCH(DB_PODPOR!$B41,INDIRECT(G41&amp;"!$H:$H"),0))),0)</f>
        <v>0</v>
      </c>
      <c r="D41" s="113">
        <f>$E41*ROZCESTNIK!$I$3</f>
        <v>1961</v>
      </c>
      <c r="E41" s="113">
        <v>74</v>
      </c>
      <c r="F41" s="114">
        <f t="shared" ca="1" si="16"/>
        <v>1961</v>
      </c>
      <c r="G41" s="134" t="s">
        <v>51</v>
      </c>
      <c r="H41" s="106">
        <f t="shared" ca="1" si="22"/>
        <v>10</v>
      </c>
      <c r="I41" s="107" t="s">
        <v>135</v>
      </c>
      <c r="J41" s="107">
        <f t="shared" ca="1" si="17"/>
        <v>0</v>
      </c>
      <c r="K41" s="117" t="str">
        <f t="shared" si="18"/>
        <v>O3 - živočišná výroba</v>
      </c>
      <c r="L41" s="107" t="s">
        <v>156</v>
      </c>
      <c r="M41" s="107" t="str">
        <f t="shared" si="6"/>
        <v>ANC - ŽV_O3_ZV</v>
      </c>
      <c r="N41" s="118">
        <f t="shared" ca="1" si="20"/>
        <v>1</v>
      </c>
      <c r="O41" s="107" t="s">
        <v>132</v>
      </c>
      <c r="Z41" s="137"/>
      <c r="AA41" s="137"/>
      <c r="AB41" s="137"/>
      <c r="AE41" s="138">
        <f t="shared" ca="1" si="21"/>
        <v>0</v>
      </c>
      <c r="AF41" s="138">
        <f t="shared" ca="1" si="21"/>
        <v>0</v>
      </c>
      <c r="AG41" s="138">
        <f t="shared" ca="1" si="21"/>
        <v>0</v>
      </c>
      <c r="AH41" s="138">
        <f t="shared" ca="1" si="21"/>
        <v>0</v>
      </c>
      <c r="AI41" s="138">
        <f t="shared" ca="1" si="21"/>
        <v>0</v>
      </c>
      <c r="AJ41" s="138">
        <f t="shared" ca="1" si="21"/>
        <v>0</v>
      </c>
      <c r="AL41" s="139">
        <f t="shared" ca="1" si="23"/>
        <v>0</v>
      </c>
      <c r="AM41" s="107">
        <f t="shared" ca="1" si="24"/>
        <v>0</v>
      </c>
    </row>
    <row r="42" spans="1:42" x14ac:dyDescent="0.25">
      <c r="A42" s="105" t="s">
        <v>50</v>
      </c>
      <c r="B42" s="105" t="s">
        <v>157</v>
      </c>
      <c r="C42" s="112">
        <f ca="1">_xlfn.IFNA(IF(INDEX(INDIRECT(G42&amp;"!$D:$D"),MATCH(DB_PODPOR!$B42,INDIRECT(G42&amp;"!$H:$H"),0))="","–",INDEX(INDIRECT(G42&amp;"!$D:$D"),MATCH(DB_PODPOR!$B42,INDIRECT(G42&amp;"!$H:$H"),0))),0)</f>
        <v>0</v>
      </c>
      <c r="D42" s="113">
        <f>$E42*ROZCESTNIK!$I$3</f>
        <v>1722.5</v>
      </c>
      <c r="E42" s="113">
        <v>65</v>
      </c>
      <c r="F42" s="114">
        <f t="shared" ca="1" si="16"/>
        <v>1722.5</v>
      </c>
      <c r="G42" s="134" t="s">
        <v>51</v>
      </c>
      <c r="H42" s="106">
        <f t="shared" ca="1" si="22"/>
        <v>10</v>
      </c>
      <c r="I42" s="107" t="s">
        <v>135</v>
      </c>
      <c r="J42" s="107">
        <f t="shared" ca="1" si="17"/>
        <v>0</v>
      </c>
      <c r="K42" s="117" t="str">
        <f t="shared" si="18"/>
        <v>S - živočišná výroba</v>
      </c>
      <c r="L42" s="107" t="s">
        <v>158</v>
      </c>
      <c r="M42" s="107" t="str">
        <f t="shared" si="6"/>
        <v>ANC - ŽV_S_ZV</v>
      </c>
      <c r="N42" s="118">
        <f t="shared" ca="1" si="20"/>
        <v>1</v>
      </c>
      <c r="O42" s="107" t="s">
        <v>137</v>
      </c>
      <c r="Z42" s="137"/>
      <c r="AA42" s="137"/>
      <c r="AB42" s="137"/>
      <c r="AE42" s="138">
        <f t="shared" ca="1" si="21"/>
        <v>0</v>
      </c>
      <c r="AF42" s="138">
        <f t="shared" ca="1" si="21"/>
        <v>0</v>
      </c>
      <c r="AG42" s="138">
        <f t="shared" ca="1" si="21"/>
        <v>0</v>
      </c>
      <c r="AH42" s="138">
        <f t="shared" ca="1" si="21"/>
        <v>0</v>
      </c>
      <c r="AI42" s="138">
        <f t="shared" ca="1" si="21"/>
        <v>0</v>
      </c>
      <c r="AJ42" s="138">
        <f t="shared" ca="1" si="21"/>
        <v>0</v>
      </c>
      <c r="AL42" s="139">
        <f t="shared" ca="1" si="23"/>
        <v>0</v>
      </c>
      <c r="AM42" s="107">
        <f t="shared" ca="1" si="24"/>
        <v>0</v>
      </c>
    </row>
    <row r="43" spans="1:42" x14ac:dyDescent="0.25">
      <c r="A43" s="105" t="s">
        <v>56</v>
      </c>
      <c r="B43" s="105" t="s">
        <v>159</v>
      </c>
      <c r="C43" s="112">
        <f ca="1">_xlfn.IFNA(IF(INDEX(INDIRECT(G43&amp;"!$D:$D"),MATCH(DB_PODPOR!$B43,INDIRECT(G43&amp;"!$H:$H"),0))="","–",INDEX(INDIRECT(G43&amp;"!$D:$D"),MATCH(DB_PODPOR!$B43,INDIRECT(G43&amp;"!$H:$H"),0))),0)</f>
        <v>0</v>
      </c>
      <c r="D43" s="113">
        <f>$E43*ROZCESTNIK!$I$3</f>
        <v>2411.5</v>
      </c>
      <c r="E43" s="113">
        <v>91</v>
      </c>
      <c r="F43" s="114">
        <f t="shared" ca="1" si="16"/>
        <v>2411.5</v>
      </c>
      <c r="G43" s="134" t="s">
        <v>51</v>
      </c>
      <c r="H43" s="106">
        <f t="shared" ca="1" si="22"/>
        <v>10</v>
      </c>
      <c r="I43" s="107" t="s">
        <v>135</v>
      </c>
      <c r="J43" s="107">
        <f t="shared" ca="1" si="17"/>
        <v>0</v>
      </c>
      <c r="K43" s="117" t="str">
        <f t="shared" si="18"/>
        <v>H1 - rostlinná výroba</v>
      </c>
      <c r="L43" s="107" t="s">
        <v>160</v>
      </c>
      <c r="M43" s="107" t="str">
        <f t="shared" si="6"/>
        <v>ANC - RV_H1_RV</v>
      </c>
      <c r="N43" s="118">
        <f t="shared" ca="1" si="20"/>
        <v>1</v>
      </c>
      <c r="O43" s="107" t="s">
        <v>105</v>
      </c>
      <c r="AE43" s="138">
        <f t="shared" ref="AE43:AJ43" ca="1" si="25">$Z30*AE30*AE$19</f>
        <v>0</v>
      </c>
      <c r="AF43" s="138">
        <f t="shared" ca="1" si="25"/>
        <v>0</v>
      </c>
      <c r="AG43" s="138">
        <f t="shared" ca="1" si="25"/>
        <v>0</v>
      </c>
      <c r="AH43" s="138">
        <f t="shared" ca="1" si="25"/>
        <v>0</v>
      </c>
      <c r="AI43" s="138">
        <f t="shared" ca="1" si="25"/>
        <v>0</v>
      </c>
      <c r="AJ43" s="138">
        <f t="shared" ca="1" si="25"/>
        <v>0</v>
      </c>
      <c r="AL43" s="139">
        <f t="shared" ca="1" si="23"/>
        <v>0</v>
      </c>
      <c r="AM43" s="107">
        <f t="shared" ca="1" si="24"/>
        <v>0</v>
      </c>
    </row>
    <row r="44" spans="1:42" x14ac:dyDescent="0.25">
      <c r="A44" s="105" t="s">
        <v>56</v>
      </c>
      <c r="B44" s="105" t="s">
        <v>161</v>
      </c>
      <c r="C44" s="112">
        <f ca="1">_xlfn.IFNA(IF(INDEX(INDIRECT(G44&amp;"!$D:$D"),MATCH(DB_PODPOR!$B44,INDIRECT(G44&amp;"!$H:$H"),0))="","–",INDEX(INDIRECT(G44&amp;"!$D:$D"),MATCH(DB_PODPOR!$B44,INDIRECT(G44&amp;"!$H:$H"),0))),0)</f>
        <v>0</v>
      </c>
      <c r="D44" s="113">
        <f>$E44*ROZCESTNIK!$I$3</f>
        <v>2279</v>
      </c>
      <c r="E44" s="113">
        <v>86</v>
      </c>
      <c r="F44" s="114">
        <f t="shared" ca="1" si="16"/>
        <v>2279</v>
      </c>
      <c r="G44" s="134" t="s">
        <v>51</v>
      </c>
      <c r="H44" s="106">
        <f t="shared" ca="1" si="22"/>
        <v>10</v>
      </c>
      <c r="I44" s="107" t="s">
        <v>135</v>
      </c>
      <c r="J44" s="107">
        <f t="shared" ca="1" si="17"/>
        <v>0</v>
      </c>
      <c r="K44" s="117" t="str">
        <f t="shared" si="18"/>
        <v>H2 - rostlinná výroba</v>
      </c>
      <c r="L44" s="107" t="s">
        <v>162</v>
      </c>
      <c r="M44" s="107" t="str">
        <f t="shared" si="6"/>
        <v>ANC - RV_H2_RV</v>
      </c>
      <c r="N44" s="118">
        <f t="shared" ca="1" si="20"/>
        <v>1</v>
      </c>
      <c r="O44" s="107" t="s">
        <v>109</v>
      </c>
      <c r="AE44" s="138">
        <f t="shared" ref="AE44:AJ44" ca="1" si="26">$Z31*AE31*AE$19</f>
        <v>0</v>
      </c>
      <c r="AF44" s="138">
        <f t="shared" ca="1" si="26"/>
        <v>0</v>
      </c>
      <c r="AG44" s="138">
        <f t="shared" ca="1" si="26"/>
        <v>0</v>
      </c>
      <c r="AH44" s="138">
        <f t="shared" ca="1" si="26"/>
        <v>0</v>
      </c>
      <c r="AI44" s="138">
        <f t="shared" ca="1" si="26"/>
        <v>0</v>
      </c>
      <c r="AJ44" s="138">
        <f t="shared" ca="1" si="26"/>
        <v>0</v>
      </c>
      <c r="AL44" s="139">
        <f t="shared" ca="1" si="23"/>
        <v>0</v>
      </c>
      <c r="AM44" s="107">
        <f t="shared" ca="1" si="24"/>
        <v>0</v>
      </c>
    </row>
    <row r="45" spans="1:42" x14ac:dyDescent="0.25">
      <c r="A45" s="105" t="s">
        <v>56</v>
      </c>
      <c r="B45" s="105" t="s">
        <v>163</v>
      </c>
      <c r="C45" s="112">
        <f ca="1">_xlfn.IFNA(IF(INDEX(INDIRECT(G45&amp;"!$D:$D"),MATCH(DB_PODPOR!$B45,INDIRECT(G45&amp;"!$H:$H"),0))="","–",INDEX(INDIRECT(G45&amp;"!$D:$D"),MATCH(DB_PODPOR!$B45,INDIRECT(G45&amp;"!$H:$H"),0))),0)</f>
        <v>0</v>
      </c>
      <c r="D45" s="113">
        <f>$E45*ROZCESTNIK!$I$3</f>
        <v>1590</v>
      </c>
      <c r="E45" s="113">
        <v>60</v>
      </c>
      <c r="F45" s="114">
        <f t="shared" ca="1" si="16"/>
        <v>1590</v>
      </c>
      <c r="G45" s="134" t="s">
        <v>51</v>
      </c>
      <c r="H45" s="106">
        <f t="shared" ca="1" si="22"/>
        <v>10</v>
      </c>
      <c r="I45" s="107" t="s">
        <v>135</v>
      </c>
      <c r="J45" s="107">
        <f t="shared" ca="1" si="17"/>
        <v>0</v>
      </c>
      <c r="K45" s="117" t="str">
        <f t="shared" si="18"/>
        <v>H3 - rostlinná výroba</v>
      </c>
      <c r="L45" s="107" t="s">
        <v>164</v>
      </c>
      <c r="M45" s="107" t="str">
        <f t="shared" si="6"/>
        <v>ANC - RV_H3_RV</v>
      </c>
      <c r="N45" s="118">
        <f t="shared" ca="1" si="20"/>
        <v>1</v>
      </c>
      <c r="O45" s="107" t="s">
        <v>116</v>
      </c>
      <c r="AB45" s="107">
        <f ca="1">SUM(AE37:AJ45)</f>
        <v>0</v>
      </c>
      <c r="AE45" s="138">
        <f t="shared" ref="AE45:AJ45" ca="1" si="27">$Z32*AE32*AE$19</f>
        <v>0</v>
      </c>
      <c r="AF45" s="138">
        <f t="shared" ca="1" si="27"/>
        <v>0</v>
      </c>
      <c r="AG45" s="138">
        <f t="shared" ca="1" si="27"/>
        <v>0</v>
      </c>
      <c r="AH45" s="138">
        <f t="shared" ca="1" si="27"/>
        <v>0</v>
      </c>
      <c r="AI45" s="138">
        <f t="shared" ca="1" si="27"/>
        <v>0</v>
      </c>
      <c r="AJ45" s="138">
        <f t="shared" ca="1" si="27"/>
        <v>0</v>
      </c>
      <c r="AL45" s="139">
        <f t="shared" ca="1" si="23"/>
        <v>0</v>
      </c>
      <c r="AM45" s="107">
        <f t="shared" ca="1" si="24"/>
        <v>0</v>
      </c>
    </row>
    <row r="46" spans="1:42" x14ac:dyDescent="0.25">
      <c r="A46" s="105" t="s">
        <v>56</v>
      </c>
      <c r="B46" s="105" t="s">
        <v>165</v>
      </c>
      <c r="C46" s="112">
        <f ca="1">_xlfn.IFNA(IF(INDEX(INDIRECT(G46&amp;"!$D:$D"),MATCH(DB_PODPOR!$B46,INDIRECT(G46&amp;"!$H:$H"),0))="","–",INDEX(INDIRECT(G46&amp;"!$D:$D"),MATCH(DB_PODPOR!$B46,INDIRECT(G46&amp;"!$H:$H"),0))),0)</f>
        <v>0</v>
      </c>
      <c r="D46" s="113">
        <f>$E46*ROZCESTNIK!$I$3</f>
        <v>1934.5</v>
      </c>
      <c r="E46" s="113">
        <v>73</v>
      </c>
      <c r="F46" s="114">
        <f t="shared" ca="1" si="16"/>
        <v>1934.5</v>
      </c>
      <c r="G46" s="134" t="s">
        <v>51</v>
      </c>
      <c r="H46" s="106">
        <f t="shared" ca="1" si="22"/>
        <v>10</v>
      </c>
      <c r="I46" s="107" t="s">
        <v>135</v>
      </c>
      <c r="J46" s="107">
        <f t="shared" ca="1" si="17"/>
        <v>0</v>
      </c>
      <c r="K46" s="117" t="str">
        <f t="shared" si="18"/>
        <v>H4 - rostlinná výroba</v>
      </c>
      <c r="L46" s="107" t="s">
        <v>166</v>
      </c>
      <c r="M46" s="107" t="str">
        <f t="shared" si="6"/>
        <v>ANC - RV_H4_RV</v>
      </c>
      <c r="N46" s="118">
        <f t="shared" ca="1" si="20"/>
        <v>1</v>
      </c>
      <c r="O46" s="107" t="s">
        <v>113</v>
      </c>
    </row>
    <row r="47" spans="1:42" x14ac:dyDescent="0.25">
      <c r="A47" s="105" t="s">
        <v>56</v>
      </c>
      <c r="B47" s="105" t="s">
        <v>167</v>
      </c>
      <c r="C47" s="112">
        <f ca="1">_xlfn.IFNA(IF(INDEX(INDIRECT(G47&amp;"!$D:$D"),MATCH(DB_PODPOR!$B47,INDIRECT(G47&amp;"!$H:$H"),0))="","–",INDEX(INDIRECT(G47&amp;"!$D:$D"),MATCH(DB_PODPOR!$B47,INDIRECT(G47&amp;"!$H:$H"),0))),0)</f>
        <v>0</v>
      </c>
      <c r="D47" s="113">
        <f>$E47*ROZCESTNIK!$I$3</f>
        <v>1457.5</v>
      </c>
      <c r="E47" s="113">
        <v>55</v>
      </c>
      <c r="F47" s="114">
        <f t="shared" ca="1" si="16"/>
        <v>1457.5</v>
      </c>
      <c r="G47" s="134" t="s">
        <v>51</v>
      </c>
      <c r="H47" s="106">
        <f t="shared" ca="1" si="22"/>
        <v>10</v>
      </c>
      <c r="I47" s="107" t="s">
        <v>135</v>
      </c>
      <c r="J47" s="107">
        <f t="shared" ca="1" si="17"/>
        <v>0</v>
      </c>
      <c r="K47" s="117" t="str">
        <f t="shared" si="18"/>
        <v>H5 - rostlinná výroba</v>
      </c>
      <c r="L47" s="107" t="s">
        <v>168</v>
      </c>
      <c r="M47" s="107" t="str">
        <f t="shared" si="6"/>
        <v>ANC - RV_H5_RV</v>
      </c>
      <c r="N47" s="118">
        <f t="shared" ca="1" si="20"/>
        <v>1</v>
      </c>
      <c r="O47" s="107" t="s">
        <v>119</v>
      </c>
      <c r="AE47" s="129">
        <f t="shared" ref="AE47:AJ47" ca="1" si="28">SUM(AE37:AE45)</f>
        <v>0</v>
      </c>
      <c r="AF47" s="129">
        <f t="shared" ca="1" si="28"/>
        <v>0</v>
      </c>
      <c r="AG47" s="129">
        <f t="shared" ca="1" si="28"/>
        <v>0</v>
      </c>
      <c r="AH47" s="129">
        <f t="shared" ca="1" si="28"/>
        <v>0</v>
      </c>
      <c r="AI47" s="129">
        <f t="shared" ca="1" si="28"/>
        <v>0</v>
      </c>
      <c r="AJ47" s="129">
        <f t="shared" ca="1" si="28"/>
        <v>0</v>
      </c>
      <c r="AL47" s="140">
        <f ca="1">SUM(AE47:AJ47)</f>
        <v>0</v>
      </c>
      <c r="AM47" s="107" t="s">
        <v>173</v>
      </c>
    </row>
    <row r="48" spans="1:42" x14ac:dyDescent="0.25">
      <c r="A48" s="105" t="s">
        <v>56</v>
      </c>
      <c r="B48" s="105" t="s">
        <v>169</v>
      </c>
      <c r="C48" s="112">
        <f ca="1">_xlfn.IFNA(IF(INDEX(INDIRECT(G48&amp;"!$D:$D"),MATCH(DB_PODPOR!$B48,INDIRECT(G48&amp;"!$H:$H"),0))="","–",INDEX(INDIRECT(G48&amp;"!$D:$D"),MATCH(DB_PODPOR!$B48,INDIRECT(G48&amp;"!$H:$H"),0))),0)</f>
        <v>0</v>
      </c>
      <c r="D48" s="113">
        <f>$E48*ROZCESTNIK!$I$3</f>
        <v>1431</v>
      </c>
      <c r="E48" s="113">
        <v>54</v>
      </c>
      <c r="F48" s="114">
        <f t="shared" ca="1" si="16"/>
        <v>1431</v>
      </c>
      <c r="G48" s="134" t="s">
        <v>51</v>
      </c>
      <c r="H48" s="106">
        <f t="shared" ca="1" si="22"/>
        <v>10</v>
      </c>
      <c r="I48" s="107" t="s">
        <v>135</v>
      </c>
      <c r="J48" s="107">
        <f t="shared" ca="1" si="17"/>
        <v>0</v>
      </c>
      <c r="K48" s="117" t="str">
        <f t="shared" si="18"/>
        <v>O1 - rostlinná výroba</v>
      </c>
      <c r="L48" s="107" t="s">
        <v>170</v>
      </c>
      <c r="M48" s="107" t="str">
        <f t="shared" si="6"/>
        <v>ANC - RV_O1_RV</v>
      </c>
      <c r="N48" s="118">
        <f t="shared" ca="1" si="20"/>
        <v>1</v>
      </c>
      <c r="O48" s="107" t="s">
        <v>123</v>
      </c>
    </row>
    <row r="49" spans="1:39" x14ac:dyDescent="0.25">
      <c r="A49" s="105" t="s">
        <v>56</v>
      </c>
      <c r="B49" s="105" t="s">
        <v>171</v>
      </c>
      <c r="C49" s="112">
        <f ca="1">_xlfn.IFNA(IF(INDEX(INDIRECT(G49&amp;"!$D:$D"),MATCH(DB_PODPOR!$B49,INDIRECT(G49&amp;"!$H:$H"),0))="","–",INDEX(INDIRECT(G49&amp;"!$D:$D"),MATCH(DB_PODPOR!$B49,INDIRECT(G49&amp;"!$H:$H"),0))),0)</f>
        <v>0</v>
      </c>
      <c r="D49" s="113">
        <f>$E49*ROZCESTNIK!$I$3</f>
        <v>1113</v>
      </c>
      <c r="E49" s="113">
        <v>42</v>
      </c>
      <c r="F49" s="114">
        <f t="shared" ca="1" si="16"/>
        <v>1113</v>
      </c>
      <c r="G49" s="134" t="s">
        <v>51</v>
      </c>
      <c r="H49" s="106">
        <f t="shared" ca="1" si="22"/>
        <v>10</v>
      </c>
      <c r="I49" s="107" t="s">
        <v>135</v>
      </c>
      <c r="J49" s="107">
        <f t="shared" ca="1" si="17"/>
        <v>0</v>
      </c>
      <c r="K49" s="117" t="str">
        <f t="shared" si="18"/>
        <v>O2 - rostlinná výroba</v>
      </c>
      <c r="L49" s="107" t="s">
        <v>172</v>
      </c>
      <c r="M49" s="107" t="str">
        <f t="shared" si="6"/>
        <v>ANC - RV_O2_RV</v>
      </c>
      <c r="N49" s="118">
        <f t="shared" ca="1" si="20"/>
        <v>1</v>
      </c>
      <c r="O49" s="107" t="s">
        <v>128</v>
      </c>
      <c r="AE49" s="141" t="e">
        <f t="shared" ref="AE49:AJ49" ca="1" si="29">AE47/AE50</f>
        <v>#DIV/0!</v>
      </c>
      <c r="AF49" s="141" t="e">
        <f t="shared" ca="1" si="29"/>
        <v>#DIV/0!</v>
      </c>
      <c r="AG49" s="141" t="e">
        <f t="shared" ca="1" si="29"/>
        <v>#DIV/0!</v>
      </c>
      <c r="AH49" s="141" t="e">
        <f t="shared" ca="1" si="29"/>
        <v>#DIV/0!</v>
      </c>
      <c r="AI49" s="141" t="e">
        <f t="shared" ca="1" si="29"/>
        <v>#DIV/0!</v>
      </c>
      <c r="AJ49" s="141" t="e">
        <f t="shared" ca="1" si="29"/>
        <v>#DIV/0!</v>
      </c>
      <c r="AK49" s="137"/>
      <c r="AL49" s="139" t="e">
        <f ca="1">AL47/AL50</f>
        <v>#DIV/0!</v>
      </c>
      <c r="AM49" s="107" t="s">
        <v>178</v>
      </c>
    </row>
    <row r="50" spans="1:39" x14ac:dyDescent="0.25">
      <c r="A50" s="105" t="s">
        <v>56</v>
      </c>
      <c r="B50" s="105" t="s">
        <v>174</v>
      </c>
      <c r="C50" s="112">
        <f ca="1">_xlfn.IFNA(IF(INDEX(INDIRECT(G50&amp;"!$D:$D"),MATCH(DB_PODPOR!$B50,INDIRECT(G50&amp;"!$H:$H"),0))="","–",INDEX(INDIRECT(G50&amp;"!$D:$D"),MATCH(DB_PODPOR!$B50,INDIRECT(G50&amp;"!$H:$H"),0))),0)</f>
        <v>0</v>
      </c>
      <c r="D50" s="113">
        <f>$E50*ROZCESTNIK!$I$3</f>
        <v>821.5</v>
      </c>
      <c r="E50" s="113">
        <v>31</v>
      </c>
      <c r="F50" s="114">
        <f t="shared" ca="1" si="16"/>
        <v>821.5</v>
      </c>
      <c r="G50" s="134" t="s">
        <v>51</v>
      </c>
      <c r="H50" s="106">
        <f t="shared" ca="1" si="22"/>
        <v>10</v>
      </c>
      <c r="I50" s="107" t="s">
        <v>135</v>
      </c>
      <c r="J50" s="107">
        <f t="shared" ca="1" si="17"/>
        <v>0</v>
      </c>
      <c r="K50" s="117" t="str">
        <f t="shared" si="18"/>
        <v>O3 - rostlinná výroba</v>
      </c>
      <c r="L50" s="107" t="s">
        <v>175</v>
      </c>
      <c r="M50" s="107" t="str">
        <f t="shared" si="6"/>
        <v>ANC - RV_O3_RV</v>
      </c>
      <c r="N50" s="118">
        <f t="shared" ca="1" si="20"/>
        <v>1</v>
      </c>
      <c r="O50" s="107" t="s">
        <v>132</v>
      </c>
      <c r="AE50" s="137">
        <f t="shared" ref="AE50:AJ50" ca="1" si="30">SUMPRODUCT($Z24:$Z32,AE24:AE32)</f>
        <v>0</v>
      </c>
      <c r="AF50" s="137">
        <f t="shared" ca="1" si="30"/>
        <v>0</v>
      </c>
      <c r="AG50" s="137">
        <f t="shared" ca="1" si="30"/>
        <v>0</v>
      </c>
      <c r="AH50" s="137">
        <f t="shared" ca="1" si="30"/>
        <v>0</v>
      </c>
      <c r="AI50" s="137">
        <f t="shared" ca="1" si="30"/>
        <v>0</v>
      </c>
      <c r="AJ50" s="137">
        <f t="shared" ca="1" si="30"/>
        <v>0</v>
      </c>
      <c r="AK50" s="137"/>
      <c r="AL50" s="129">
        <f ca="1">SUM(AE50:AJ50)</f>
        <v>0</v>
      </c>
      <c r="AM50" s="107" t="s">
        <v>181</v>
      </c>
    </row>
    <row r="51" spans="1:39" x14ac:dyDescent="0.25">
      <c r="A51" s="105" t="s">
        <v>56</v>
      </c>
      <c r="B51" s="105" t="s">
        <v>176</v>
      </c>
      <c r="C51" s="112">
        <f ca="1">_xlfn.IFNA(IF(INDEX(INDIRECT(G51&amp;"!$D:$D"),MATCH(DB_PODPOR!$B51,INDIRECT(G51&amp;"!$H:$H"),0))="","–",INDEX(INDIRECT(G51&amp;"!$D:$D"),MATCH(DB_PODPOR!$B51,INDIRECT(G51&amp;"!$H:$H"),0))),0)</f>
        <v>0</v>
      </c>
      <c r="D51" s="113">
        <f>$E51*ROZCESTNIK!$I$3</f>
        <v>715.5</v>
      </c>
      <c r="E51" s="113">
        <v>27</v>
      </c>
      <c r="F51" s="114">
        <f t="shared" ca="1" si="16"/>
        <v>715.5</v>
      </c>
      <c r="G51" s="134" t="s">
        <v>51</v>
      </c>
      <c r="H51" s="106">
        <f t="shared" ca="1" si="22"/>
        <v>10</v>
      </c>
      <c r="I51" s="107" t="s">
        <v>135</v>
      </c>
      <c r="J51" s="107">
        <f t="shared" ca="1" si="17"/>
        <v>0</v>
      </c>
      <c r="K51" s="117" t="str">
        <f t="shared" si="18"/>
        <v>S - rostlinná výroba</v>
      </c>
      <c r="L51" s="107" t="s">
        <v>177</v>
      </c>
      <c r="M51" s="107" t="str">
        <f t="shared" si="6"/>
        <v>ANC - RV_S_RV</v>
      </c>
      <c r="N51" s="118">
        <f t="shared" ca="1" si="20"/>
        <v>1</v>
      </c>
      <c r="O51" s="107" t="s">
        <v>137</v>
      </c>
    </row>
    <row r="52" spans="1:39" x14ac:dyDescent="0.25">
      <c r="A52" s="105" t="s">
        <v>12</v>
      </c>
      <c r="B52" s="105" t="s">
        <v>179</v>
      </c>
      <c r="C52" s="112">
        <f ca="1">_xlfn.IFNA(IF(INDEX(INDIRECT(G52&amp;"!$D:$D"),MATCH(DB_PODPOR!$B52,INDIRECT(G52&amp;"!$H:$H"),0))="","–",INDEX(INDIRECT(G52&amp;"!$D:$D"),MATCH(DB_PODPOR!$B52,INDIRECT(G52&amp;"!$H:$H"),0))),0)</f>
        <v>0</v>
      </c>
      <c r="D52" s="113">
        <f>$E52*ROZCESTNIK!$I$3</f>
        <v>8268</v>
      </c>
      <c r="E52" s="113">
        <v>312</v>
      </c>
      <c r="F52" s="114">
        <f t="shared" ref="F52:F80" si="31">D52</f>
        <v>8268</v>
      </c>
      <c r="G52" s="142" t="s">
        <v>59</v>
      </c>
      <c r="H52" s="106">
        <f t="shared" ca="1" si="22"/>
        <v>11</v>
      </c>
      <c r="I52" s="107" t="s">
        <v>135</v>
      </c>
      <c r="J52" s="107">
        <f t="shared" ca="1" si="17"/>
        <v>0</v>
      </c>
      <c r="K52" s="117" t="str">
        <f t="shared" si="18"/>
        <v>Zatravňování běžnou směsí</v>
      </c>
      <c r="L52" s="107" t="s">
        <v>180</v>
      </c>
      <c r="M52" s="107" t="str">
        <f t="shared" si="6"/>
        <v>AEKO - zatravňování erozně ohrožené půdy_zatrav běžnou směsí</v>
      </c>
      <c r="AL52" s="107">
        <f ca="1">SUMPRODUCT(AB24:AB32,AL37:AL45)</f>
        <v>0</v>
      </c>
      <c r="AM52" s="107" t="s">
        <v>186</v>
      </c>
    </row>
    <row r="53" spans="1:39" x14ac:dyDescent="0.25">
      <c r="A53" s="105" t="s">
        <v>12</v>
      </c>
      <c r="B53" s="105" t="s">
        <v>182</v>
      </c>
      <c r="C53" s="112">
        <f ca="1">_xlfn.IFNA(IF(INDEX(INDIRECT(G53&amp;"!$D:$D"),MATCH(DB_PODPOR!$B53,INDIRECT(G53&amp;"!$H:$H"),0))="","–",INDEX(INDIRECT(G53&amp;"!$D:$D"),MATCH(DB_PODPOR!$B53,INDIRECT(G53&amp;"!$H:$H"),0))),0)</f>
        <v>0</v>
      </c>
      <c r="D53" s="113">
        <f>$E53*ROZCESTNIK!$I$3</f>
        <v>9222</v>
      </c>
      <c r="E53" s="113">
        <v>348</v>
      </c>
      <c r="F53" s="114">
        <f t="shared" si="31"/>
        <v>9222</v>
      </c>
      <c r="G53" s="142" t="s">
        <v>59</v>
      </c>
      <c r="H53" s="106">
        <f t="shared" ca="1" si="22"/>
        <v>11</v>
      </c>
      <c r="I53" s="107" t="s">
        <v>135</v>
      </c>
      <c r="J53" s="107">
        <f t="shared" ca="1" si="17"/>
        <v>0</v>
      </c>
      <c r="K53" s="117" t="str">
        <f t="shared" si="18"/>
        <v>Zatravňování druhově bohatou směsí</v>
      </c>
      <c r="L53" s="107" t="s">
        <v>183</v>
      </c>
      <c r="M53" s="107" t="str">
        <f t="shared" si="6"/>
        <v>AEKO - zatravňování erozně ohrožené půdy_zatrav druhově bohatou směsí</v>
      </c>
    </row>
    <row r="54" spans="1:39" x14ac:dyDescent="0.25">
      <c r="A54" s="105" t="s">
        <v>12</v>
      </c>
      <c r="B54" s="105" t="s">
        <v>184</v>
      </c>
      <c r="C54" s="112">
        <f ca="1">_xlfn.IFNA(IF(INDEX(INDIRECT(G54&amp;"!$D:$D"),MATCH(DB_PODPOR!$B54,INDIRECT(G54&amp;"!$H:$H"),0))="","–",INDEX(INDIRECT(G54&amp;"!$D:$D"),MATCH(DB_PODPOR!$B54,INDIRECT(G54&amp;"!$H:$H"),0))),0)</f>
        <v>0</v>
      </c>
      <c r="D54" s="113">
        <f>$E54*ROZCESTNIK!$I$3</f>
        <v>29521</v>
      </c>
      <c r="E54" s="113">
        <v>1114</v>
      </c>
      <c r="F54" s="114">
        <f t="shared" si="31"/>
        <v>29521</v>
      </c>
      <c r="G54" s="142" t="s">
        <v>59</v>
      </c>
      <c r="H54" s="106">
        <f t="shared" ca="1" si="22"/>
        <v>11</v>
      </c>
      <c r="I54" s="107" t="s">
        <v>135</v>
      </c>
      <c r="J54" s="107">
        <f t="shared" ca="1" si="17"/>
        <v>0</v>
      </c>
      <c r="K54" s="117" t="str">
        <f t="shared" si="18"/>
        <v>Zatravňování regionální směsí 1 rok</v>
      </c>
      <c r="L54" s="107" t="s">
        <v>185</v>
      </c>
      <c r="M54" s="107" t="str">
        <f t="shared" si="6"/>
        <v>AEKO - zatravňování erozně ohrožené půdy_zatrav regionální směsí 1 rok</v>
      </c>
    </row>
    <row r="55" spans="1:39" x14ac:dyDescent="0.25">
      <c r="A55" s="105" t="s">
        <v>12</v>
      </c>
      <c r="B55" s="105" t="s">
        <v>187</v>
      </c>
      <c r="C55" s="112">
        <f ca="1">_xlfn.IFNA(IF(INDEX(INDIRECT(G55&amp;"!$D:$D"),MATCH(DB_PODPOR!$B55,INDIRECT(G55&amp;"!$H:$H"),0))="","–",INDEX(INDIRECT(G55&amp;"!$D:$D"),MATCH(DB_PODPOR!$B55,INDIRECT(G55&amp;"!$H:$H"),0))),0)</f>
        <v>0</v>
      </c>
      <c r="D55" s="113">
        <f>$E55*ROZCESTNIK!$I$3</f>
        <v>6280.5</v>
      </c>
      <c r="E55" s="113">
        <v>237</v>
      </c>
      <c r="F55" s="114">
        <f t="shared" si="31"/>
        <v>6280.5</v>
      </c>
      <c r="G55" s="142" t="s">
        <v>59</v>
      </c>
      <c r="H55" s="106">
        <f t="shared" ca="1" si="22"/>
        <v>11</v>
      </c>
      <c r="I55" s="107" t="s">
        <v>135</v>
      </c>
      <c r="J55" s="107">
        <f t="shared" ca="1" si="17"/>
        <v>0</v>
      </c>
      <c r="K55" s="117" t="str">
        <f t="shared" si="18"/>
        <v>Zatravňování regionální směsí n let</v>
      </c>
      <c r="L55" s="107" t="s">
        <v>188</v>
      </c>
      <c r="M55" s="107" t="str">
        <f t="shared" si="6"/>
        <v>AEKO - zatravňování erozně ohrožené půdy_zatrav regionální směsí n let</v>
      </c>
    </row>
    <row r="56" spans="1:39" x14ac:dyDescent="0.25">
      <c r="A56" s="105" t="s">
        <v>12</v>
      </c>
      <c r="B56" s="105" t="s">
        <v>189</v>
      </c>
      <c r="C56" s="112">
        <f ca="1">_xlfn.IFNA(IF(INDEX(INDIRECT(G56&amp;"!$D:$D"),MATCH(DB_PODPOR!$B56,INDIRECT(G56&amp;"!$H:$H"),0))="","–",INDEX(INDIRECT(G56&amp;"!$D:$D"),MATCH(DB_PODPOR!$B56,INDIRECT(G56&amp;"!$H:$H"),0))),0)</f>
        <v>0</v>
      </c>
      <c r="D56" s="113">
        <f>$E56*ROZCESTNIK!$I$3</f>
        <v>8930.5</v>
      </c>
      <c r="E56" s="113">
        <v>337</v>
      </c>
      <c r="F56" s="114">
        <f t="shared" si="31"/>
        <v>8930.5</v>
      </c>
      <c r="G56" s="142" t="s">
        <v>59</v>
      </c>
      <c r="H56" s="106">
        <f t="shared" ca="1" si="22"/>
        <v>11</v>
      </c>
      <c r="I56" s="107" t="s">
        <v>135</v>
      </c>
      <c r="J56" s="107">
        <f t="shared" ca="1" si="17"/>
        <v>0</v>
      </c>
      <c r="K56" s="117" t="str">
        <f t="shared" si="18"/>
        <v>Zatravňování podél vodních toků běžnou směsí</v>
      </c>
      <c r="L56" s="107" t="s">
        <v>407</v>
      </c>
      <c r="M56" s="107" t="str">
        <f t="shared" si="6"/>
        <v>AEKO - zatravňování erozně ohrožené půdy_podél vodních toků běžnou směsí</v>
      </c>
    </row>
    <row r="57" spans="1:39" x14ac:dyDescent="0.25">
      <c r="A57" s="105" t="s">
        <v>12</v>
      </c>
      <c r="B57" s="105" t="s">
        <v>190</v>
      </c>
      <c r="C57" s="112">
        <f ca="1">_xlfn.IFNA(IF(INDEX(INDIRECT(G57&amp;"!$D:$D"),MATCH(DB_PODPOR!$B57,INDIRECT(G57&amp;"!$H:$H"),0))="","–",INDEX(INDIRECT(G57&amp;"!$D:$D"),MATCH(DB_PODPOR!$B57,INDIRECT(G57&amp;"!$H:$H"),0))),0)</f>
        <v>0</v>
      </c>
      <c r="D57" s="113">
        <f>$E57*ROZCESTNIK!$I$3</f>
        <v>10335</v>
      </c>
      <c r="E57" s="113">
        <v>390</v>
      </c>
      <c r="F57" s="114">
        <f t="shared" si="31"/>
        <v>10335</v>
      </c>
      <c r="G57" s="142" t="s">
        <v>59</v>
      </c>
      <c r="H57" s="106">
        <f t="shared" ca="1" si="22"/>
        <v>11</v>
      </c>
      <c r="I57" s="107" t="s">
        <v>135</v>
      </c>
      <c r="J57" s="107">
        <f t="shared" ca="1" si="17"/>
        <v>0</v>
      </c>
      <c r="K57" s="117" t="str">
        <f t="shared" si="18"/>
        <v>Zatravňování podél vodních toků druhově bohatou směsí</v>
      </c>
      <c r="L57" s="107" t="s">
        <v>408</v>
      </c>
      <c r="M57" s="107" t="str">
        <f t="shared" si="6"/>
        <v>AEKO - zatravňování erozně ohrožené půdy_podél vodních toků druhově bohatou směsí</v>
      </c>
    </row>
    <row r="58" spans="1:39" x14ac:dyDescent="0.25">
      <c r="A58" s="105" t="s">
        <v>12</v>
      </c>
      <c r="B58" s="105" t="s">
        <v>191</v>
      </c>
      <c r="C58" s="112">
        <f ca="1">_xlfn.IFNA(IF(INDEX(INDIRECT(G58&amp;"!$D:$D"),MATCH(DB_PODPOR!$B58,INDIRECT(G58&amp;"!$H:$H"),0))="","–",INDEX(INDIRECT(G58&amp;"!$D:$D"),MATCH(DB_PODPOR!$B58,INDIRECT(G58&amp;"!$H:$H"),0))),0)</f>
        <v>0</v>
      </c>
      <c r="D58" s="113">
        <f>$E58*ROZCESTNIK!$I$3</f>
        <v>30104</v>
      </c>
      <c r="E58" s="113">
        <v>1136</v>
      </c>
      <c r="F58" s="114">
        <f t="shared" si="31"/>
        <v>30104</v>
      </c>
      <c r="G58" s="142" t="s">
        <v>59</v>
      </c>
      <c r="H58" s="106">
        <f t="shared" ca="1" si="22"/>
        <v>11</v>
      </c>
      <c r="I58" s="107" t="s">
        <v>135</v>
      </c>
      <c r="J58" s="107">
        <f t="shared" ca="1" si="17"/>
        <v>0</v>
      </c>
      <c r="K58" s="117" t="str">
        <f t="shared" si="18"/>
        <v>Zatravňování podél vodních toků regionální směsí 1 rok</v>
      </c>
      <c r="L58" s="107" t="s">
        <v>409</v>
      </c>
      <c r="M58" s="107" t="str">
        <f t="shared" si="6"/>
        <v>AEKO - zatravňování erozně ohrožené půdy_podél vodních toků regionální směsí 1 rok</v>
      </c>
    </row>
    <row r="59" spans="1:39" x14ac:dyDescent="0.25">
      <c r="A59" s="105" t="s">
        <v>12</v>
      </c>
      <c r="B59" s="105" t="s">
        <v>192</v>
      </c>
      <c r="C59" s="112">
        <f ca="1">_xlfn.IFNA(IF(INDEX(INDIRECT(G59&amp;"!$D:$D"),MATCH(DB_PODPOR!$B59,INDIRECT(G59&amp;"!$H:$H"),0))="","–",INDEX(INDIRECT(G59&amp;"!$D:$D"),MATCH(DB_PODPOR!$B59,INDIRECT(G59&amp;"!$H:$H"),0))),0)</f>
        <v>0</v>
      </c>
      <c r="D59" s="113">
        <f>$E59*ROZCESTNIK!$I$3</f>
        <v>6863.5</v>
      </c>
      <c r="E59" s="113">
        <v>259</v>
      </c>
      <c r="F59" s="114">
        <f t="shared" si="31"/>
        <v>6863.5</v>
      </c>
      <c r="G59" s="142" t="s">
        <v>59</v>
      </c>
      <c r="H59" s="106">
        <f t="shared" ca="1" si="22"/>
        <v>11</v>
      </c>
      <c r="I59" s="107" t="s">
        <v>135</v>
      </c>
      <c r="J59" s="107">
        <f t="shared" ca="1" si="17"/>
        <v>0</v>
      </c>
      <c r="K59" s="117" t="str">
        <f t="shared" si="18"/>
        <v>Zatravňování podél vodních toků regionální směsí n let</v>
      </c>
      <c r="L59" s="107" t="s">
        <v>410</v>
      </c>
      <c r="M59" s="107" t="str">
        <f t="shared" si="6"/>
        <v>AEKO - zatravňování erozně ohrožené půdy_podél vodních toků regionální směsí n let</v>
      </c>
    </row>
    <row r="60" spans="1:39" x14ac:dyDescent="0.25">
      <c r="A60" s="105" t="s">
        <v>12</v>
      </c>
      <c r="B60" s="105" t="s">
        <v>384</v>
      </c>
      <c r="C60" s="112">
        <f ca="1">_xlfn.IFNA(IF(INDEX(INDIRECT(G60&amp;"!$D:$D"),MATCH(DB_PODPOR!$B60,INDIRECT(G60&amp;"!$H:$H"),0))="","–",INDEX(INDIRECT(G60&amp;"!$D:$D"),MATCH(DB_PODPOR!$B60,INDIRECT(G60&amp;"!$H:$H"),0))),0)</f>
        <v>0</v>
      </c>
      <c r="D60" s="113">
        <f>$E60*ROZCESTNIK!$I$3</f>
        <v>8268</v>
      </c>
      <c r="E60" s="113">
        <v>312</v>
      </c>
      <c r="F60" s="114">
        <f t="shared" si="31"/>
        <v>8268</v>
      </c>
      <c r="G60" s="142" t="s">
        <v>59</v>
      </c>
      <c r="H60" s="106">
        <f t="shared" ca="1" si="22"/>
        <v>11</v>
      </c>
      <c r="I60" s="107" t="s">
        <v>135</v>
      </c>
      <c r="J60" s="107">
        <f t="shared" ca="1" si="17"/>
        <v>0</v>
      </c>
      <c r="K60" s="117" t="str">
        <f t="shared" si="18"/>
        <v>Infiltrační oblasti</v>
      </c>
      <c r="M60" s="107" t="str">
        <f t="shared" si="6"/>
        <v>AEKO - zatravňování erozně ohrožené půdy_Infiltrační oblasti</v>
      </c>
    </row>
    <row r="61" spans="1:39" x14ac:dyDescent="0.25">
      <c r="A61" s="105" t="s">
        <v>12</v>
      </c>
      <c r="B61" s="105" t="s">
        <v>193</v>
      </c>
      <c r="C61" s="112">
        <f ca="1">_xlfn.IFNA(IF(INDEX(INDIRECT(G61&amp;"!$D:$D"),MATCH(DB_PODPOR!$B61,INDIRECT(G61&amp;"!$H:$H"),0))="","–",INDEX(INDIRECT(G61&amp;"!$D:$D"),MATCH(DB_PODPOR!$B61,INDIRECT(G61&amp;"!$H:$H"),0))),0)</f>
        <v>0</v>
      </c>
      <c r="D61" s="113">
        <f>$E61*ROZCESTNIK!$I$3</f>
        <v>12773</v>
      </c>
      <c r="E61" s="113">
        <v>482</v>
      </c>
      <c r="F61" s="114">
        <f t="shared" si="31"/>
        <v>12773</v>
      </c>
      <c r="G61" s="142" t="s">
        <v>59</v>
      </c>
      <c r="H61" s="106">
        <f t="shared" ca="1" si="22"/>
        <v>11</v>
      </c>
      <c r="I61" s="107" t="s">
        <v>135</v>
      </c>
      <c r="J61" s="107">
        <f t="shared" ca="1" si="17"/>
        <v>0</v>
      </c>
      <c r="K61" s="117" t="str">
        <f t="shared" si="18"/>
        <v>Dráhy soustředěného odtoku</v>
      </c>
      <c r="M61" s="107" t="str">
        <f t="shared" si="6"/>
        <v>AEKO - zatravňování erozně ohrožené půdy_Dráhy soustředěného odtoku</v>
      </c>
    </row>
    <row r="62" spans="1:39" x14ac:dyDescent="0.25">
      <c r="A62" s="105" t="s">
        <v>62</v>
      </c>
      <c r="B62" s="105" t="s">
        <v>194</v>
      </c>
      <c r="C62" s="112">
        <f ca="1">_xlfn.IFNA(IF(INDEX(INDIRECT(G62&amp;"!$D:$D"),MATCH(DB_PODPOR!$B62,INDIRECT(G62&amp;"!$H:$H"),0))="","–",INDEX(INDIRECT(G62&amp;"!$D:$D"),MATCH(DB_PODPOR!$B62,INDIRECT(G62&amp;"!$H:$H"),0))),0)</f>
        <v>0</v>
      </c>
      <c r="D62" s="113">
        <f>$E62*ROZCESTNIK!$I$3</f>
        <v>4028</v>
      </c>
      <c r="E62" s="113">
        <v>152</v>
      </c>
      <c r="F62" s="114">
        <f t="shared" si="31"/>
        <v>4028</v>
      </c>
      <c r="G62" s="142" t="s">
        <v>63</v>
      </c>
      <c r="H62" s="106">
        <f t="shared" ca="1" si="22"/>
        <v>12</v>
      </c>
      <c r="I62" s="107" t="s">
        <v>135</v>
      </c>
      <c r="J62" s="107">
        <f t="shared" ca="1" si="17"/>
        <v>0</v>
      </c>
      <c r="K62" s="117" t="str">
        <f t="shared" si="18"/>
        <v>Meziplodiny proti utužení orné půdy</v>
      </c>
      <c r="M62" s="107" t="str">
        <f t="shared" si="6"/>
        <v>AEKO - Meziplodiny_Meziplodiny proti utužení orné půdy</v>
      </c>
    </row>
    <row r="63" spans="1:39" x14ac:dyDescent="0.25">
      <c r="A63" s="105" t="s">
        <v>62</v>
      </c>
      <c r="B63" s="105" t="s">
        <v>385</v>
      </c>
      <c r="C63" s="112">
        <f ca="1">_xlfn.IFNA(IF(INDEX(INDIRECT(G63&amp;"!$D:$D"),MATCH(DB_PODPOR!$B63,INDIRECT(G63&amp;"!$H:$H"),0))="","–",INDEX(INDIRECT(G63&amp;"!$D:$D"),MATCH(DB_PODPOR!$B63,INDIRECT(G63&amp;"!$H:$H"),0))),0)</f>
        <v>0</v>
      </c>
      <c r="D63" s="113">
        <f>$E63*ROZCESTNIK!$I$3</f>
        <v>4081</v>
      </c>
      <c r="E63" s="113">
        <v>154</v>
      </c>
      <c r="F63" s="114">
        <f t="shared" si="31"/>
        <v>4081</v>
      </c>
      <c r="G63" s="142" t="s">
        <v>63</v>
      </c>
      <c r="H63" s="106">
        <f t="shared" ca="1" si="22"/>
        <v>12</v>
      </c>
      <c r="I63" s="107" t="s">
        <v>135</v>
      </c>
      <c r="J63" s="107">
        <f t="shared" ca="1" si="17"/>
        <v>0</v>
      </c>
      <c r="K63" s="117" t="str">
        <f t="shared" si="18"/>
        <v>Meziplodiny pro zlepšení struktury půdy</v>
      </c>
      <c r="M63" s="107" t="str">
        <f t="shared" si="6"/>
        <v>AEKO - Meziplodiny_Meziplodiny pro zlepšení struktury půdy</v>
      </c>
    </row>
    <row r="64" spans="1:39" x14ac:dyDescent="0.25">
      <c r="A64" s="105" t="s">
        <v>405</v>
      </c>
      <c r="B64" s="105" t="s">
        <v>364</v>
      </c>
      <c r="C64" s="112">
        <f ca="1">_xlfn.IFNA(IF(INDEX(INDIRECT(G64&amp;"!$D:$D"),MATCH(DB_PODPOR!$B64,INDIRECT(G64&amp;"!$H:$H"),0))="","–",INDEX(INDIRECT(G64&amp;"!$D:$D"),MATCH(DB_PODPOR!$B64,INDIRECT(G64&amp;"!$H:$H"),0))),0)</f>
        <v>0</v>
      </c>
      <c r="D64" s="113">
        <f>$E64*ROZCESTNIK!$I$3</f>
        <v>2411.5</v>
      </c>
      <c r="E64" s="113">
        <v>91</v>
      </c>
      <c r="F64" s="114">
        <f>D64</f>
        <v>2411.5</v>
      </c>
      <c r="G64" s="142" t="s">
        <v>66</v>
      </c>
      <c r="H64" s="106">
        <f t="shared" ca="1" si="22"/>
        <v>13</v>
      </c>
      <c r="I64" s="107" t="s">
        <v>135</v>
      </c>
      <c r="J64" s="107">
        <f t="shared" ca="1" si="17"/>
        <v>0</v>
      </c>
      <c r="K64" s="117" t="str">
        <f t="shared" si="18"/>
        <v>Základní titul OTP</v>
      </c>
      <c r="M64" s="107" t="str">
        <f t="shared" si="6"/>
        <v>AEKO - Ošetřování extenzivních travních porostů - KZ_Základní titul OTP</v>
      </c>
      <c r="N64" s="107" t="str">
        <f>_xlfn.CONCAT($A64,$B64)</f>
        <v>AEKO - Ošetřování extenzivních travních porostů - KZZákladní titul OTP</v>
      </c>
    </row>
    <row r="65" spans="1:14" x14ac:dyDescent="0.25">
      <c r="A65" s="105" t="s">
        <v>405</v>
      </c>
      <c r="B65" s="105" t="s">
        <v>365</v>
      </c>
      <c r="C65" s="112">
        <f ca="1">_xlfn.IFNA(IF(INDEX(INDIRECT(G65&amp;"!$D:$D"),MATCH(DB_PODPOR!$B65,INDIRECT(G65&amp;"!$H:$H"),0))="","–",INDEX(INDIRECT(G65&amp;"!$D:$D"),MATCH(DB_PODPOR!$B65,INDIRECT(G65&amp;"!$H:$H"),0))),0)</f>
        <v>0</v>
      </c>
      <c r="D65" s="113">
        <f>$E65*ROZCESTNIK!$I$3</f>
        <v>397.5</v>
      </c>
      <c r="E65" s="113">
        <v>15</v>
      </c>
      <c r="F65" s="114">
        <f>D65</f>
        <v>397.5</v>
      </c>
      <c r="G65" s="142" t="s">
        <v>66</v>
      </c>
      <c r="H65" s="106">
        <f t="shared" ca="1" si="22"/>
        <v>13</v>
      </c>
      <c r="I65" s="107" t="s">
        <v>135</v>
      </c>
      <c r="J65" s="107">
        <f t="shared" ca="1" si="17"/>
        <v>0</v>
      </c>
      <c r="K65" s="117" t="str">
        <f t="shared" si="18"/>
        <v>OTP management - nepokosené plochy</v>
      </c>
      <c r="M65" s="107" t="str">
        <f t="shared" si="6"/>
        <v>AEKO - Ošetřování extenzivních travních porostů - KZ_OTP management - nepokosené plochy</v>
      </c>
      <c r="N65" s="107" t="str">
        <f>_xlfn.CONCAT($A65,$B65)</f>
        <v>AEKO - Ošetřování extenzivních travních porostů - KZOTP management - nepokosené plochy</v>
      </c>
    </row>
    <row r="66" spans="1:14" x14ac:dyDescent="0.25">
      <c r="A66" s="105" t="s">
        <v>405</v>
      </c>
      <c r="B66" s="105" t="s">
        <v>195</v>
      </c>
      <c r="C66" s="112">
        <f ca="1">_xlfn.IFNA(IF(INDEX(INDIRECT(G66&amp;"!$D:$D"),MATCH(DB_PODPOR!$B66,INDIRECT(G66&amp;"!$H:$H"),0))="","–",INDEX(INDIRECT(G66&amp;"!$D:$D"),MATCH(DB_PODPOR!$B66,INDIRECT(G66&amp;"!$H:$H"),0))),0)</f>
        <v>0</v>
      </c>
      <c r="D66" s="113">
        <f>$E66*ROZCESTNIK!$I$3</f>
        <v>4399</v>
      </c>
      <c r="E66" s="113">
        <v>166</v>
      </c>
      <c r="F66" s="114">
        <f t="shared" si="31"/>
        <v>4399</v>
      </c>
      <c r="G66" s="142" t="s">
        <v>66</v>
      </c>
      <c r="H66" s="106">
        <f t="shared" ca="1" si="22"/>
        <v>13</v>
      </c>
      <c r="I66" s="107" t="s">
        <v>135</v>
      </c>
      <c r="J66" s="107">
        <f t="shared" ref="J66:J75" ca="1" si="32">IFERROR(C66*F66,0)</f>
        <v>0</v>
      </c>
      <c r="K66" s="117" t="str">
        <f t="shared" si="18"/>
        <v>Mezofilní a vlhkomilné louky hnojené</v>
      </c>
      <c r="L66" s="107" t="s">
        <v>196</v>
      </c>
      <c r="M66" s="107" t="str">
        <f t="shared" si="6"/>
        <v>AEKO - Ošetřování extenzivních travních porostů - KZ_Mezofilní a vlhkomilné louky hnojené</v>
      </c>
      <c r="N66" s="107" t="str">
        <f>_xlfn.CONCAT($A66,$B66)</f>
        <v xml:space="preserve">AEKO - Ošetřování extenzivních travních porostů - KZMezofilní a vlhkomilné louky hnojené </v>
      </c>
    </row>
    <row r="67" spans="1:14" x14ac:dyDescent="0.25">
      <c r="A67" s="105" t="s">
        <v>405</v>
      </c>
      <c r="B67" s="105" t="s">
        <v>197</v>
      </c>
      <c r="C67" s="112">
        <f ca="1">_xlfn.IFNA(IF(INDEX(INDIRECT(G67&amp;"!$D:$D"),MATCH(DB_PODPOR!$B67,INDIRECT(G67&amp;"!$H:$H"),0))="","–",INDEX(INDIRECT(G67&amp;"!$D:$D"),MATCH(DB_PODPOR!$B67,INDIRECT(G67&amp;"!$H:$H"),0))),0)</f>
        <v>0</v>
      </c>
      <c r="D67" s="113">
        <f>$E67*ROZCESTNIK!$I$3</f>
        <v>0</v>
      </c>
      <c r="E67" s="113">
        <v>0</v>
      </c>
      <c r="F67" s="114">
        <f t="shared" si="31"/>
        <v>0</v>
      </c>
      <c r="G67" s="142" t="s">
        <v>66</v>
      </c>
      <c r="H67" s="106">
        <f t="shared" ca="1" si="22"/>
        <v>13</v>
      </c>
      <c r="I67" s="107" t="s">
        <v>135</v>
      </c>
      <c r="J67" s="107">
        <f t="shared" ca="1" si="32"/>
        <v>0</v>
      </c>
      <c r="K67" s="117" t="str">
        <f t="shared" si="18"/>
        <v>Mezofilní a vlhkomilné louky hnojené, nekosené</v>
      </c>
      <c r="L67" s="107" t="s">
        <v>198</v>
      </c>
      <c r="M67" s="107" t="str">
        <f t="shared" si="6"/>
        <v>AEKO - Ošetřování extenzivních travních porostů - KZ_Mezofilní a vlhkomilné louky hnojené nekos</v>
      </c>
      <c r="N67" s="107" t="str">
        <f t="shared" ref="N67:N79" si="33">_xlfn.CONCAT($A67,$B67)</f>
        <v>AEKO - Ošetřování extenzivních travních porostů - KZMezofilní a vlhkomilné louky hnojené nekos</v>
      </c>
    </row>
    <row r="68" spans="1:14" x14ac:dyDescent="0.25">
      <c r="A68" s="105" t="s">
        <v>405</v>
      </c>
      <c r="B68" s="105" t="s">
        <v>376</v>
      </c>
      <c r="C68" s="112">
        <f ca="1">_xlfn.IFNA(IF(INDEX(INDIRECT(G68&amp;"!$D:$D"),MATCH(DB_PODPOR!$B68,INDIRECT(G68&amp;"!$H:$H"),0))="","–",INDEX(INDIRECT(G68&amp;"!$D:$D"),MATCH(DB_PODPOR!$B68,INDIRECT(G68&amp;"!$H:$H"),0))),0)</f>
        <v>0</v>
      </c>
      <c r="D68" s="113">
        <f>$E68*ROZCESTNIK!$I$3</f>
        <v>4902.5</v>
      </c>
      <c r="E68" s="113">
        <v>185</v>
      </c>
      <c r="F68" s="114">
        <f t="shared" si="31"/>
        <v>4902.5</v>
      </c>
      <c r="G68" s="142" t="s">
        <v>66</v>
      </c>
      <c r="H68" s="106">
        <f t="shared" ca="1" si="22"/>
        <v>13</v>
      </c>
      <c r="I68" s="107" t="s">
        <v>135</v>
      </c>
      <c r="J68" s="107">
        <f t="shared" ca="1" si="32"/>
        <v>0</v>
      </c>
      <c r="K68" s="117" t="str">
        <f t="shared" si="18"/>
        <v>Mezofilní a vlhkomilné louky nehnojené</v>
      </c>
      <c r="L68" s="107" t="s">
        <v>243</v>
      </c>
      <c r="M68" s="107" t="str">
        <f t="shared" ref="M68:M134" si="34">_xlfn.CONCAT(TRIM(A68),"_",TRIM(B68))</f>
        <v>AEKO - Ošetřování extenzivních travních porostů - KZ_Mezofilní a vlhkomilné louky nehnojené</v>
      </c>
      <c r="N68" s="107" t="str">
        <f t="shared" si="33"/>
        <v xml:space="preserve">AEKO - Ošetřování extenzivních travních porostů - KZMezofilní a vlhkomilné louky nehnojené </v>
      </c>
    </row>
    <row r="69" spans="1:14" x14ac:dyDescent="0.25">
      <c r="A69" s="105" t="s">
        <v>405</v>
      </c>
      <c r="B69" s="105" t="s">
        <v>378</v>
      </c>
      <c r="C69" s="112">
        <f ca="1">_xlfn.IFNA(IF(INDEX(INDIRECT(G69&amp;"!$D:$D"),MATCH(DB_PODPOR!$B69,INDIRECT(G69&amp;"!$H:$H"),0))="","–",INDEX(INDIRECT(G69&amp;"!$D:$D"),MATCH(DB_PODPOR!$B69,INDIRECT(G69&amp;"!$H:$H"),0))),0)</f>
        <v>0</v>
      </c>
      <c r="D69" s="113">
        <f>$E69*ROZCESTNIK!$I$3</f>
        <v>0</v>
      </c>
      <c r="E69" s="113">
        <v>0</v>
      </c>
      <c r="F69" s="114">
        <f t="shared" si="31"/>
        <v>0</v>
      </c>
      <c r="G69" s="142" t="s">
        <v>66</v>
      </c>
      <c r="H69" s="106">
        <f t="shared" ca="1" si="22"/>
        <v>13</v>
      </c>
      <c r="I69" s="107" t="s">
        <v>135</v>
      </c>
      <c r="J69" s="107">
        <f t="shared" ca="1" si="32"/>
        <v>0</v>
      </c>
      <c r="K69" s="117" t="str">
        <f t="shared" si="18"/>
        <v>Mezofilní a vlhkomilné louky nehnojené, nekosené</v>
      </c>
      <c r="L69" s="107" t="s">
        <v>379</v>
      </c>
      <c r="M69" s="107" t="str">
        <f t="shared" si="34"/>
        <v>AEKO - Ošetřování extenzivních travních porostů - KZ_Mezofilní a vlhkomilné louky nehnojené nekos</v>
      </c>
      <c r="N69" s="107" t="str">
        <f t="shared" si="33"/>
        <v>AEKO - Ošetřování extenzivních travních porostů - KZMezofilní a vlhkomilné louky nehnojené nekos</v>
      </c>
    </row>
    <row r="70" spans="1:14" x14ac:dyDescent="0.25">
      <c r="A70" s="105" t="s">
        <v>405</v>
      </c>
      <c r="B70" s="105" t="s">
        <v>199</v>
      </c>
      <c r="C70" s="112">
        <f ca="1">_xlfn.IFNA(IF(INDEX(INDIRECT(G70&amp;"!$D:$D"),MATCH(DB_PODPOR!$B70,INDIRECT(G70&amp;"!$H:$H"),0))="","–",INDEX(INDIRECT(G70&amp;"!$D:$D"),MATCH(DB_PODPOR!$B70,INDIRECT(G70&amp;"!$H:$H"),0))),0)</f>
        <v>0</v>
      </c>
      <c r="D70" s="113">
        <f>$E70*ROZCESTNIK!$I$3</f>
        <v>4505</v>
      </c>
      <c r="E70" s="113">
        <v>170</v>
      </c>
      <c r="F70" s="114">
        <f t="shared" si="31"/>
        <v>4505</v>
      </c>
      <c r="G70" s="142" t="s">
        <v>66</v>
      </c>
      <c r="H70" s="106">
        <f t="shared" ca="1" si="22"/>
        <v>13</v>
      </c>
      <c r="I70" s="107" t="s">
        <v>135</v>
      </c>
      <c r="J70" s="107">
        <f t="shared" ca="1" si="32"/>
        <v>0</v>
      </c>
      <c r="K70" s="117" t="str">
        <f t="shared" si="18"/>
        <v>Horské a suchomilné louky hnojené</v>
      </c>
      <c r="L70" s="107" t="s">
        <v>200</v>
      </c>
      <c r="M70" s="107" t="str">
        <f t="shared" si="34"/>
        <v>AEKO - Ošetřování extenzivních travních porostů - KZ_Horské a suchomilné louky hnojené</v>
      </c>
      <c r="N70" s="107" t="str">
        <f t="shared" si="33"/>
        <v xml:space="preserve">AEKO - Ošetřování extenzivních travních porostů - KZHorské a suchomilné louky hnojené </v>
      </c>
    </row>
    <row r="71" spans="1:14" x14ac:dyDescent="0.25">
      <c r="A71" s="105" t="s">
        <v>405</v>
      </c>
      <c r="B71" s="105" t="s">
        <v>201</v>
      </c>
      <c r="C71" s="112">
        <f ca="1">_xlfn.IFNA(IF(INDEX(INDIRECT(G71&amp;"!$D:$D"),MATCH(DB_PODPOR!$B71,INDIRECT(G71&amp;"!$H:$H"),0))="","–",INDEX(INDIRECT(G71&amp;"!$D:$D"),MATCH(DB_PODPOR!$B71,INDIRECT(G71&amp;"!$H:$H"),0))),0)</f>
        <v>0</v>
      </c>
      <c r="D71" s="113">
        <f>$E71*ROZCESTNIK!$I$3</f>
        <v>0</v>
      </c>
      <c r="E71" s="113">
        <v>0</v>
      </c>
      <c r="F71" s="114">
        <f t="shared" si="31"/>
        <v>0</v>
      </c>
      <c r="G71" s="142" t="s">
        <v>66</v>
      </c>
      <c r="H71" s="106">
        <f t="shared" ca="1" si="22"/>
        <v>13</v>
      </c>
      <c r="I71" s="107" t="s">
        <v>135</v>
      </c>
      <c r="J71" s="107">
        <f t="shared" ca="1" si="32"/>
        <v>0</v>
      </c>
      <c r="K71" s="117" t="str">
        <f t="shared" si="18"/>
        <v>Horské a suchomilné louky hnojené, nekosené</v>
      </c>
      <c r="L71" s="107" t="s">
        <v>202</v>
      </c>
      <c r="M71" s="107" t="str">
        <f t="shared" si="34"/>
        <v>AEKO - Ošetřování extenzivních travních porostů - KZ_Horské a suchomilné louky hnojené nekos</v>
      </c>
      <c r="N71" s="107" t="str">
        <f t="shared" si="33"/>
        <v>AEKO - Ošetřování extenzivních travních porostů - KZHorské a suchomilné louky hnojené nekos</v>
      </c>
    </row>
    <row r="72" spans="1:14" x14ac:dyDescent="0.25">
      <c r="A72" s="105" t="s">
        <v>405</v>
      </c>
      <c r="B72" s="105" t="s">
        <v>203</v>
      </c>
      <c r="C72" s="112">
        <f ca="1">_xlfn.IFNA(IF(INDEX(INDIRECT(G72&amp;"!$D:$D"),MATCH(DB_PODPOR!$B72,INDIRECT(G72&amp;"!$H:$H"),0))="","–",INDEX(INDIRECT(G72&amp;"!$D:$D"),MATCH(DB_PODPOR!$B72,INDIRECT(G72&amp;"!$H:$H"),0))),0)</f>
        <v>0</v>
      </c>
      <c r="D72" s="113">
        <f>$E72*ROZCESTNIK!$I$3</f>
        <v>4531.5</v>
      </c>
      <c r="E72" s="113">
        <v>171</v>
      </c>
      <c r="F72" s="114">
        <f t="shared" si="31"/>
        <v>4531.5</v>
      </c>
      <c r="G72" s="142" t="s">
        <v>66</v>
      </c>
      <c r="H72" s="106">
        <f t="shared" ca="1" si="22"/>
        <v>13</v>
      </c>
      <c r="I72" s="107" t="s">
        <v>135</v>
      </c>
      <c r="J72" s="107">
        <f t="shared" ca="1" si="32"/>
        <v>0</v>
      </c>
      <c r="K72" s="117" t="str">
        <f t="shared" si="18"/>
        <v>Horské a suchomilné louky nehnojené</v>
      </c>
      <c r="L72" s="107" t="s">
        <v>204</v>
      </c>
      <c r="M72" s="107" t="str">
        <f t="shared" si="34"/>
        <v>AEKO - Ošetřování extenzivních travních porostů - KZ_Horské a suchomilné louky nehnojené</v>
      </c>
      <c r="N72" s="107" t="str">
        <f t="shared" si="33"/>
        <v xml:space="preserve">AEKO - Ošetřování extenzivních travních porostů - KZHorské a suchomilné louky nehnojené </v>
      </c>
    </row>
    <row r="73" spans="1:14" x14ac:dyDescent="0.25">
      <c r="A73" s="105" t="s">
        <v>405</v>
      </c>
      <c r="B73" s="105" t="s">
        <v>205</v>
      </c>
      <c r="C73" s="112">
        <f ca="1">_xlfn.IFNA(IF(INDEX(INDIRECT(G73&amp;"!$D:$D"),MATCH(DB_PODPOR!$B73,INDIRECT(G73&amp;"!$H:$H"),0))="","–",INDEX(INDIRECT(G73&amp;"!$D:$D"),MATCH(DB_PODPOR!$B73,INDIRECT(G73&amp;"!$H:$H"),0))),0)</f>
        <v>0</v>
      </c>
      <c r="D73" s="113">
        <f>$E73*ROZCESTNIK!$I$3</f>
        <v>0</v>
      </c>
      <c r="E73" s="113">
        <v>0</v>
      </c>
      <c r="F73" s="114">
        <f t="shared" si="31"/>
        <v>0</v>
      </c>
      <c r="G73" s="142" t="s">
        <v>66</v>
      </c>
      <c r="H73" s="106">
        <f t="shared" ca="1" si="22"/>
        <v>13</v>
      </c>
      <c r="I73" s="107" t="s">
        <v>135</v>
      </c>
      <c r="J73" s="107">
        <f t="shared" ca="1" si="32"/>
        <v>0</v>
      </c>
      <c r="K73" s="117" t="str">
        <f t="shared" si="18"/>
        <v>Horské a suchomilné louky nehnojené, nekosené</v>
      </c>
      <c r="L73" s="107" t="s">
        <v>206</v>
      </c>
      <c r="M73" s="107" t="str">
        <f t="shared" si="34"/>
        <v>AEKO - Ošetřování extenzivních travních porostů - KZ_Horské a suchomilné louky nehnojené nekos</v>
      </c>
      <c r="N73" s="107" t="str">
        <f t="shared" si="33"/>
        <v>AEKO - Ošetřování extenzivních travních porostů - KZHorské a suchomilné louky nehnojené nekos</v>
      </c>
    </row>
    <row r="74" spans="1:14" x14ac:dyDescent="0.25">
      <c r="A74" s="105" t="s">
        <v>405</v>
      </c>
      <c r="B74" s="105" t="s">
        <v>207</v>
      </c>
      <c r="C74" s="112">
        <f ca="1">_xlfn.IFNA(IF(INDEX(INDIRECT(G74&amp;"!$D:$D"),MATCH(DB_PODPOR!$B74,INDIRECT(G74&amp;"!$H:$H"),0))="","–",INDEX(INDIRECT(G74&amp;"!$D:$D"),MATCH(DB_PODPOR!$B74,INDIRECT(G74&amp;"!$H:$H"),0))),0)</f>
        <v>0</v>
      </c>
      <c r="D74" s="113">
        <f>$E74*ROZCESTNIK!$I$3</f>
        <v>18311.5</v>
      </c>
      <c r="E74" s="113">
        <v>691</v>
      </c>
      <c r="F74" s="114">
        <f t="shared" si="31"/>
        <v>18311.5</v>
      </c>
      <c r="G74" s="142" t="s">
        <v>66</v>
      </c>
      <c r="H74" s="106">
        <f t="shared" ca="1" si="22"/>
        <v>13</v>
      </c>
      <c r="I74" s="107" t="s">
        <v>135</v>
      </c>
      <c r="J74" s="107">
        <f t="shared" ca="1" si="32"/>
        <v>0</v>
      </c>
      <c r="K74" s="117" t="str">
        <f t="shared" si="18"/>
        <v>Trvale podmáčené a rašelinné louky</v>
      </c>
      <c r="L74" s="107" t="s">
        <v>208</v>
      </c>
      <c r="M74" s="107" t="str">
        <f t="shared" si="34"/>
        <v>AEKO - Ošetřování extenzivních travních porostů - KZ_Trvale podmáčené a rašelinné louky</v>
      </c>
      <c r="N74" s="107" t="str">
        <f t="shared" si="33"/>
        <v xml:space="preserve">AEKO - Ošetřování extenzivních travních porostů - KZTrvale podmáčené a rašelinné louky </v>
      </c>
    </row>
    <row r="75" spans="1:14" x14ac:dyDescent="0.25">
      <c r="A75" s="105" t="s">
        <v>405</v>
      </c>
      <c r="B75" s="105" t="s">
        <v>209</v>
      </c>
      <c r="C75" s="112">
        <f ca="1">_xlfn.IFNA(IF(INDEX(INDIRECT(G75&amp;"!$D:$D"),MATCH(DB_PODPOR!$B75,INDIRECT(G75&amp;"!$H:$H"),0))="","–",INDEX(INDIRECT(G75&amp;"!$D:$D"),MATCH(DB_PODPOR!$B75,INDIRECT(G75&amp;"!$H:$H"),0))),0)</f>
        <v>0</v>
      </c>
      <c r="D75" s="113">
        <f>$E75*ROZCESTNIK!$I$3</f>
        <v>5273.5</v>
      </c>
      <c r="E75" s="113">
        <v>199</v>
      </c>
      <c r="F75" s="114">
        <f t="shared" si="31"/>
        <v>5273.5</v>
      </c>
      <c r="G75" s="142" t="s">
        <v>66</v>
      </c>
      <c r="H75" s="106">
        <f t="shared" ca="1" si="22"/>
        <v>13</v>
      </c>
      <c r="I75" s="107" t="s">
        <v>135</v>
      </c>
      <c r="J75" s="107">
        <f t="shared" ca="1" si="32"/>
        <v>0</v>
      </c>
      <c r="K75" s="117" t="str">
        <f t="shared" ref="K75:K146" si="35">IF(L75="",B75,L75)</f>
        <v>Ochrana chřástala polního</v>
      </c>
      <c r="L75" s="107" t="s">
        <v>210</v>
      </c>
      <c r="M75" s="107" t="str">
        <f t="shared" si="34"/>
        <v>AEKO - Ošetřování extenzivních travních porostů - KZ_Ochrana chřástala polního</v>
      </c>
      <c r="N75" s="107" t="str">
        <f t="shared" si="33"/>
        <v xml:space="preserve">AEKO - Ošetřování extenzivních travních porostů - KZOchrana chřástala polního </v>
      </c>
    </row>
    <row r="76" spans="1:14" x14ac:dyDescent="0.25">
      <c r="A76" s="105" t="s">
        <v>405</v>
      </c>
      <c r="B76" s="105" t="s">
        <v>412</v>
      </c>
      <c r="C76" s="112">
        <f ca="1">_xlfn.IFNA(IF(INDEX(INDIRECT(G76&amp;"!$D:$D"),MATCH(DB_PODPOR!$B76,INDIRECT(G76&amp;"!$H:$H"),0))="","–",INDEX(INDIRECT(G76&amp;"!$D:$D"),MATCH(DB_PODPOR!$B76,INDIRECT(G76&amp;"!$H:$H"),0))),0)</f>
        <v>0</v>
      </c>
      <c r="D76" s="113">
        <f>$E76*ROZCESTNIK!$I$3</f>
        <v>4611</v>
      </c>
      <c r="E76" s="113">
        <v>174</v>
      </c>
      <c r="F76" s="114">
        <f t="shared" si="31"/>
        <v>4611</v>
      </c>
      <c r="G76" s="142" t="s">
        <v>66</v>
      </c>
      <c r="H76" s="106">
        <f t="shared" ca="1" si="22"/>
        <v>13</v>
      </c>
      <c r="I76" s="107" t="s">
        <v>135</v>
      </c>
      <c r="J76" s="107">
        <f t="shared" ref="J76:J147" ca="1" si="36">IFERROR(C76*F76,0)</f>
        <v>0</v>
      </c>
      <c r="K76" s="117" t="str">
        <f t="shared" si="35"/>
        <v>Ochrana modrásků</v>
      </c>
      <c r="L76" s="107" t="s">
        <v>412</v>
      </c>
      <c r="M76" s="107" t="str">
        <f t="shared" si="34"/>
        <v>AEKO - Ošetřování extenzivních travních porostů - KZ_Ochrana modrásků</v>
      </c>
      <c r="N76" s="107" t="str">
        <f t="shared" si="33"/>
        <v>AEKO - Ošetřování extenzivních travních porostů - KZOchrana modrásků</v>
      </c>
    </row>
    <row r="77" spans="1:14" x14ac:dyDescent="0.25">
      <c r="A77" s="105" t="s">
        <v>405</v>
      </c>
      <c r="B77" s="105" t="s">
        <v>211</v>
      </c>
      <c r="C77" s="112">
        <f ca="1">_xlfn.IFNA(IF(INDEX(INDIRECT(G77&amp;"!$D:$D"),MATCH(DB_PODPOR!$B77,INDIRECT(G77&amp;"!$H:$H"),0))="","–",INDEX(INDIRECT(G77&amp;"!$D:$D"),MATCH(DB_PODPOR!$B77,INDIRECT(G77&amp;"!$H:$H"),0))),0)</f>
        <v>0</v>
      </c>
      <c r="D77" s="113">
        <f>$E77*ROZCESTNIK!$I$3</f>
        <v>9328</v>
      </c>
      <c r="E77" s="113">
        <v>352</v>
      </c>
      <c r="F77" s="114">
        <f t="shared" si="31"/>
        <v>9328</v>
      </c>
      <c r="G77" s="142" t="s">
        <v>66</v>
      </c>
      <c r="H77" s="106">
        <f t="shared" ca="1" si="22"/>
        <v>13</v>
      </c>
      <c r="I77" s="107" t="s">
        <v>135</v>
      </c>
      <c r="J77" s="107">
        <f t="shared" ca="1" si="36"/>
        <v>0</v>
      </c>
      <c r="K77" s="117" t="str">
        <f t="shared" si="35"/>
        <v>Suché stepní trávníky a vřesoviště</v>
      </c>
      <c r="L77" s="107" t="s">
        <v>211</v>
      </c>
      <c r="M77" s="107" t="str">
        <f t="shared" si="34"/>
        <v>AEKO - Ošetřování extenzivních travních porostů - KZ_Suché stepní trávníky a vřesoviště</v>
      </c>
      <c r="N77" s="107" t="str">
        <f t="shared" si="33"/>
        <v>AEKO - Ošetřování extenzivních travních porostů - KZSuché stepní trávníky a vřesoviště</v>
      </c>
    </row>
    <row r="78" spans="1:14" x14ac:dyDescent="0.25">
      <c r="A78" s="105" t="s">
        <v>405</v>
      </c>
      <c r="B78" s="105" t="s">
        <v>212</v>
      </c>
      <c r="C78" s="112">
        <f ca="1">_xlfn.IFNA(IF(INDEX(INDIRECT(G78&amp;"!$D:$D"),MATCH(DB_PODPOR!$B78,INDIRECT(G78&amp;"!$H:$H"),0))="","–",INDEX(INDIRECT(G78&amp;"!$D:$D"),MATCH(DB_PODPOR!$B78,INDIRECT(G78&amp;"!$H:$H"),0))),0)</f>
        <v>0</v>
      </c>
      <c r="D78" s="113">
        <f>$E78*ROZCESTNIK!$I$3</f>
        <v>5591.5</v>
      </c>
      <c r="E78" s="113">
        <v>211</v>
      </c>
      <c r="F78" s="114">
        <f t="shared" si="31"/>
        <v>5591.5</v>
      </c>
      <c r="G78" s="142" t="s">
        <v>66</v>
      </c>
      <c r="H78" s="106">
        <f t="shared" ca="1" si="22"/>
        <v>13</v>
      </c>
      <c r="I78" s="107" t="s">
        <v>135</v>
      </c>
      <c r="J78" s="107">
        <f t="shared" ca="1" si="36"/>
        <v>0</v>
      </c>
      <c r="K78" s="117" t="str">
        <f t="shared" si="35"/>
        <v>Druhově bohaté pastviny</v>
      </c>
      <c r="L78" s="107" t="s">
        <v>213</v>
      </c>
      <c r="M78" s="107" t="str">
        <f t="shared" si="34"/>
        <v>AEKO - Ošetřování extenzivních travních porostů - KZ_Druhově bohaté pastviny</v>
      </c>
      <c r="N78" s="107" t="str">
        <f t="shared" si="33"/>
        <v xml:space="preserve">AEKO - Ošetřování extenzivních travních porostů - KZDruhově bohaté pastviny </v>
      </c>
    </row>
    <row r="79" spans="1:14" x14ac:dyDescent="0.25">
      <c r="A79" s="105" t="s">
        <v>405</v>
      </c>
      <c r="B79" s="105" t="s">
        <v>226</v>
      </c>
      <c r="C79" s="112">
        <f ca="1">_xlfn.IFNA(IF(INDEX(INDIRECT(G79&amp;"!$D:$D"),MATCH(DB_PODPOR!$B79,INDIRECT(G79&amp;"!$H:$H"),0))="","–",INDEX(INDIRECT(G79&amp;"!$D:$D"),MATCH(DB_PODPOR!$B79,INDIRECT(G79&amp;"!$H:$H"),0))),0)</f>
        <v>0</v>
      </c>
      <c r="D79" s="113">
        <f>$E79*ROZCESTNIK!$I$3</f>
        <v>3922</v>
      </c>
      <c r="E79" s="113">
        <v>148</v>
      </c>
      <c r="F79" s="114">
        <f t="shared" si="31"/>
        <v>3922</v>
      </c>
      <c r="G79" s="142" t="s">
        <v>66</v>
      </c>
      <c r="H79" s="106">
        <f t="shared" ca="1" si="22"/>
        <v>13</v>
      </c>
      <c r="I79" s="107" t="s">
        <v>135</v>
      </c>
      <c r="J79" s="107">
        <f t="shared" ca="1" si="36"/>
        <v>0</v>
      </c>
      <c r="K79" s="117" t="str">
        <f t="shared" si="35"/>
        <v>Platba na výsledek</v>
      </c>
      <c r="L79" s="107" t="s">
        <v>226</v>
      </c>
      <c r="M79" s="107" t="str">
        <f t="shared" si="34"/>
        <v>AEKO - Ošetřování extenzivních travních porostů - KZ_Platba na výsledek</v>
      </c>
      <c r="N79" s="107" t="str">
        <f t="shared" si="33"/>
        <v>AEKO - Ošetřování extenzivních travních porostů - KZPlatba na výsledek</v>
      </c>
    </row>
    <row r="80" spans="1:14" x14ac:dyDescent="0.25">
      <c r="A80" s="105" t="s">
        <v>68</v>
      </c>
      <c r="B80" s="105" t="s">
        <v>214</v>
      </c>
      <c r="C80" s="112">
        <f ca="1">_xlfn.IFNA(IF(INDEX(INDIRECT(G80&amp;"!$D:$D"),MATCH(DB_PODPOR!$B80,INDIRECT(G80&amp;"!$H:$H"),0))="","–",INDEX(INDIRECT(G80&amp;"!$D:$D"),MATCH(DB_PODPOR!$B80,INDIRECT(G80&amp;"!$H:$H"),0))),0)</f>
        <v>0</v>
      </c>
      <c r="D80" s="113">
        <f>$E80*ROZCESTNIK!$I$3</f>
        <v>3074</v>
      </c>
      <c r="E80" s="113">
        <v>116</v>
      </c>
      <c r="F80" s="114">
        <f t="shared" si="31"/>
        <v>3074</v>
      </c>
      <c r="G80" s="142" t="s">
        <v>69</v>
      </c>
      <c r="H80" s="106">
        <f t="shared" ref="H80:H106" ca="1" si="37">INDEX($AP$2:$AP$34,MATCH($A80,$AN$2:$AN$34,0))</f>
        <v>16</v>
      </c>
      <c r="I80" s="107" t="s">
        <v>135</v>
      </c>
      <c r="J80" s="107">
        <f t="shared" ca="1" si="36"/>
        <v>0</v>
      </c>
      <c r="K80" s="117" t="str">
        <f t="shared" si="35"/>
        <v>Krajinotvorné sady</v>
      </c>
      <c r="M80" s="107" t="str">
        <f t="shared" si="34"/>
        <v>AEKO - Krajinotvorné sady_Krajinotvorné sady</v>
      </c>
    </row>
    <row r="81" spans="1:13" x14ac:dyDescent="0.25">
      <c r="A81" s="105" t="s">
        <v>71</v>
      </c>
      <c r="B81" s="105" t="s">
        <v>215</v>
      </c>
      <c r="C81" s="112">
        <f ca="1">_xlfn.IFNA(IF(INDEX(INDIRECT(G81&amp;"!$D:$D"),MATCH(DB_PODPOR!$B81,INDIRECT(G81&amp;"!$H:$H"),0))="","–",INDEX(INDIRECT(G81&amp;"!$D:$D"),MATCH(DB_PODPOR!$B81,INDIRECT(G81&amp;"!$H:$H"),0))),0)</f>
        <v>0</v>
      </c>
      <c r="D81" s="113">
        <f>$E81*ROZCESTNIK!$I$3</f>
        <v>15820.5</v>
      </c>
      <c r="E81" s="113">
        <v>597</v>
      </c>
      <c r="F81" s="114">
        <f t="shared" ref="F81:F151" si="38">D81</f>
        <v>15820.5</v>
      </c>
      <c r="G81" s="142" t="s">
        <v>72</v>
      </c>
      <c r="H81" s="106">
        <f t="shared" ca="1" si="37"/>
        <v>14</v>
      </c>
      <c r="I81" s="107" t="s">
        <v>135</v>
      </c>
      <c r="J81" s="107">
        <f t="shared" ca="1" si="36"/>
        <v>0</v>
      </c>
      <c r="K81" s="117" t="str">
        <f t="shared" si="35"/>
        <v>Nektarodárné biopásy</v>
      </c>
      <c r="M81" s="107" t="str">
        <f t="shared" si="34"/>
        <v>AEKO - Podpora biodiverzity na orné půdě_Nektarodárné biopásy</v>
      </c>
    </row>
    <row r="82" spans="1:13" x14ac:dyDescent="0.25">
      <c r="A82" s="105" t="s">
        <v>71</v>
      </c>
      <c r="B82" s="105" t="s">
        <v>216</v>
      </c>
      <c r="C82" s="112">
        <f ca="1">_xlfn.IFNA(IF(INDEX(INDIRECT(G82&amp;"!$D:$D"),MATCH(DB_PODPOR!$B82,INDIRECT(G82&amp;"!$H:$H"),0))="","–",INDEX(INDIRECT(G82&amp;"!$D:$D"),MATCH(DB_PODPOR!$B82,INDIRECT(G82&amp;"!$H:$H"),0))),0)</f>
        <v>0</v>
      </c>
      <c r="D82" s="113">
        <f>$E82*ROZCESTNIK!$I$3</f>
        <v>17914</v>
      </c>
      <c r="E82" s="113">
        <v>676</v>
      </c>
      <c r="F82" s="114">
        <f t="shared" si="38"/>
        <v>17914</v>
      </c>
      <c r="G82" s="142" t="s">
        <v>72</v>
      </c>
      <c r="H82" s="106">
        <f t="shared" ca="1" si="37"/>
        <v>14</v>
      </c>
      <c r="I82" s="107" t="s">
        <v>135</v>
      </c>
      <c r="J82" s="107">
        <f t="shared" ca="1" si="36"/>
        <v>0</v>
      </c>
      <c r="K82" s="117" t="str">
        <f t="shared" si="35"/>
        <v>Krmné biopásy</v>
      </c>
      <c r="M82" s="107" t="str">
        <f t="shared" si="34"/>
        <v>AEKO - Podpora biodiverzity na orné půdě_Krmné biopásy</v>
      </c>
    </row>
    <row r="83" spans="1:13" x14ac:dyDescent="0.25">
      <c r="A83" s="105" t="s">
        <v>71</v>
      </c>
      <c r="B83" s="105" t="s">
        <v>217</v>
      </c>
      <c r="C83" s="112">
        <f ca="1">_xlfn.IFNA(IF(INDEX(INDIRECT(G83&amp;"!$D:$D"),MATCH(DB_PODPOR!$B83,INDIRECT(G83&amp;"!$H:$H"),0))="","–",INDEX(INDIRECT(G83&amp;"!$D:$D"),MATCH(DB_PODPOR!$B83,INDIRECT(G83&amp;"!$H:$H"),0))),0)</f>
        <v>0</v>
      </c>
      <c r="D83" s="113">
        <f>$E83*ROZCESTNIK!$I$3</f>
        <v>16933.5</v>
      </c>
      <c r="E83" s="113">
        <v>639</v>
      </c>
      <c r="F83" s="114">
        <f t="shared" si="38"/>
        <v>16933.5</v>
      </c>
      <c r="G83" s="142" t="s">
        <v>72</v>
      </c>
      <c r="H83" s="106">
        <f t="shared" ca="1" si="37"/>
        <v>14</v>
      </c>
      <c r="I83" s="107" t="s">
        <v>135</v>
      </c>
      <c r="J83" s="107">
        <f t="shared" ca="1" si="36"/>
        <v>0</v>
      </c>
      <c r="K83" s="117" t="str">
        <f t="shared" si="35"/>
        <v>Kombinované biopásy</v>
      </c>
      <c r="M83" s="107" t="str">
        <f t="shared" si="34"/>
        <v>AEKO - Podpora biodiverzity na orné půdě_Kombinované biopásy</v>
      </c>
    </row>
    <row r="84" spans="1:13" x14ac:dyDescent="0.25">
      <c r="A84" s="105" t="s">
        <v>71</v>
      </c>
      <c r="B84" s="105" t="s">
        <v>218</v>
      </c>
      <c r="C84" s="112">
        <f ca="1">_xlfn.IFNA(IF(INDEX(INDIRECT(G84&amp;"!$D:$D"),MATCH(DB_PODPOR!$B84,INDIRECT(G84&amp;"!$H:$H"),0))="","–",INDEX(INDIRECT(G84&amp;"!$D:$D"),MATCH(DB_PODPOR!$B84,INDIRECT(G84&amp;"!$H:$H"),0))),0)</f>
        <v>0</v>
      </c>
      <c r="D84" s="113">
        <f>$E84*ROZCESTNIK!$I$3</f>
        <v>16695</v>
      </c>
      <c r="E84" s="113">
        <v>630</v>
      </c>
      <c r="F84" s="114">
        <f t="shared" si="38"/>
        <v>16695</v>
      </c>
      <c r="G84" s="142" t="s">
        <v>72</v>
      </c>
      <c r="H84" s="106">
        <f t="shared" ca="1" si="37"/>
        <v>14</v>
      </c>
      <c r="I84" s="107" t="s">
        <v>135</v>
      </c>
      <c r="J84" s="107">
        <f t="shared" ca="1" si="36"/>
        <v>0</v>
      </c>
      <c r="K84" s="117" t="str">
        <f t="shared" si="35"/>
        <v>Ochrana čejky chocholaté</v>
      </c>
      <c r="M84" s="107" t="str">
        <f t="shared" si="34"/>
        <v>AEKO - Podpora biodiverzity na orné půdě_Ochrana čejky chocholaté</v>
      </c>
    </row>
    <row r="85" spans="1:13" x14ac:dyDescent="0.25">
      <c r="A85" s="105" t="s">
        <v>71</v>
      </c>
      <c r="B85" s="105" t="s">
        <v>366</v>
      </c>
      <c r="C85" s="112">
        <f ca="1">_xlfn.IFNA(IF(INDEX(INDIRECT(G85&amp;"!$D:$D"),MATCH(DB_PODPOR!$B85,INDIRECT(G85&amp;"!$H:$H"),0))="","–",INDEX(INDIRECT(G85&amp;"!$D:$D"),MATCH(DB_PODPOR!$B85,INDIRECT(G85&amp;"!$H:$H"),0))),0)</f>
        <v>0</v>
      </c>
      <c r="D85" s="113">
        <f>$E85*ROZCESTNIK!$I$3</f>
        <v>11050.5</v>
      </c>
      <c r="E85" s="113">
        <v>417</v>
      </c>
      <c r="F85" s="114">
        <f>D85</f>
        <v>11050.5</v>
      </c>
      <c r="G85" s="142" t="s">
        <v>72</v>
      </c>
      <c r="H85" s="106">
        <f t="shared" ca="1" si="37"/>
        <v>14</v>
      </c>
      <c r="I85" s="107" t="s">
        <v>135</v>
      </c>
      <c r="J85" s="107">
        <f t="shared" ca="1" si="36"/>
        <v>0</v>
      </c>
      <c r="K85" s="117" t="str">
        <f>IF(L85="",B85,L85)</f>
        <v>Druhově bohaté pokrytí orné půdy</v>
      </c>
      <c r="L85" s="107" t="s">
        <v>367</v>
      </c>
      <c r="M85" s="107" t="str">
        <f t="shared" si="34"/>
        <v>AEKO - Podpora biodiverzity na orné půdě_Druhově bohaté pokrytí o.p.</v>
      </c>
    </row>
    <row r="86" spans="1:13" x14ac:dyDescent="0.25">
      <c r="A86" s="105" t="s">
        <v>76</v>
      </c>
      <c r="B86" s="105" t="s">
        <v>219</v>
      </c>
      <c r="C86" s="112">
        <f ca="1">_xlfn.IFNA(IF(INDEX(INDIRECT(G86&amp;"!$D:$D"),MATCH(DB_PODPOR!$B86,INDIRECT(G86&amp;"!$H:$H"),0))="","–",INDEX(INDIRECT(G86&amp;"!$D:$D"),MATCH(DB_PODPOR!$B86,INDIRECT(G86&amp;"!$H:$H"),0))),0)</f>
        <v>0</v>
      </c>
      <c r="D86" s="113">
        <f>$E86*ROZCESTNIK!$I$3</f>
        <v>8851</v>
      </c>
      <c r="E86" s="113">
        <v>334</v>
      </c>
      <c r="F86" s="114">
        <f t="shared" si="38"/>
        <v>8851</v>
      </c>
      <c r="G86" s="142" t="s">
        <v>77</v>
      </c>
      <c r="H86" s="106">
        <f t="shared" ca="1" si="37"/>
        <v>15</v>
      </c>
      <c r="I86" s="107" t="s">
        <v>135</v>
      </c>
      <c r="J86" s="107">
        <f t="shared" ca="1" si="36"/>
        <v>0</v>
      </c>
      <c r="K86" s="117" t="str">
        <f t="shared" si="35"/>
        <v>Základní ochrana vinic</v>
      </c>
      <c r="L86" s="107" t="s">
        <v>219</v>
      </c>
      <c r="M86" s="107" t="str">
        <f t="shared" si="34"/>
        <v>AEKO - Integrovaná produkce_Základní ochrana vinic</v>
      </c>
    </row>
    <row r="87" spans="1:13" x14ac:dyDescent="0.25">
      <c r="A87" s="105" t="s">
        <v>76</v>
      </c>
      <c r="B87" s="105" t="s">
        <v>220</v>
      </c>
      <c r="C87" s="112">
        <f ca="1">_xlfn.IFNA(IF(INDEX(INDIRECT(G87&amp;"!$D:$D"),MATCH(DB_PODPOR!$B87,INDIRECT(G87&amp;"!$H:$H"),0))="","–",INDEX(INDIRECT(G87&amp;"!$D:$D"),MATCH(DB_PODPOR!$B87,INDIRECT(G87&amp;"!$H:$H"),0))),0)</f>
        <v>0</v>
      </c>
      <c r="D87" s="113">
        <f>$E87*ROZCESTNIK!$I$3</f>
        <v>17808</v>
      </c>
      <c r="E87" s="113">
        <v>672</v>
      </c>
      <c r="F87" s="114">
        <f t="shared" si="38"/>
        <v>17808</v>
      </c>
      <c r="G87" s="142" t="s">
        <v>77</v>
      </c>
      <c r="H87" s="106">
        <f t="shared" ca="1" si="37"/>
        <v>15</v>
      </c>
      <c r="I87" s="107" t="s">
        <v>135</v>
      </c>
      <c r="J87" s="107">
        <f t="shared" ca="1" si="36"/>
        <v>0</v>
      </c>
      <c r="K87" s="117" t="str">
        <f t="shared" si="35"/>
        <v>Nadstavbová ochrana vinic</v>
      </c>
      <c r="L87" s="107" t="s">
        <v>220</v>
      </c>
      <c r="M87" s="107" t="str">
        <f t="shared" si="34"/>
        <v>AEKO - Integrovaná produkce_Nadstavbová ochrana vinic</v>
      </c>
    </row>
    <row r="88" spans="1:13" x14ac:dyDescent="0.25">
      <c r="A88" s="105" t="s">
        <v>76</v>
      </c>
      <c r="B88" s="105" t="s">
        <v>221</v>
      </c>
      <c r="C88" s="112">
        <f ca="1">_xlfn.IFNA(IF(INDEX(INDIRECT(G88&amp;"!$D:$D"),MATCH(DB_PODPOR!$B88,INDIRECT(G88&amp;"!$H:$H"),0))="","–",INDEX(INDIRECT(G88&amp;"!$D:$D"),MATCH(DB_PODPOR!$B88,INDIRECT(G88&amp;"!$H:$H"),0))),0)</f>
        <v>0</v>
      </c>
      <c r="D88" s="113">
        <f>$E88*ROZCESTNIK!$I$3</f>
        <v>12243</v>
      </c>
      <c r="E88" s="113">
        <v>462</v>
      </c>
      <c r="F88" s="114">
        <f t="shared" si="38"/>
        <v>12243</v>
      </c>
      <c r="G88" s="142" t="s">
        <v>77</v>
      </c>
      <c r="H88" s="106">
        <f t="shared" ca="1" si="37"/>
        <v>15</v>
      </c>
      <c r="I88" s="107" t="s">
        <v>135</v>
      </c>
      <c r="J88" s="107">
        <f t="shared" ca="1" si="36"/>
        <v>0</v>
      </c>
      <c r="K88" s="117" t="str">
        <f t="shared" si="35"/>
        <v>Integrovaná produkce zeleniny, jahodníku a brambor</v>
      </c>
      <c r="L88" s="107" t="s">
        <v>222</v>
      </c>
      <c r="M88" s="107" t="str">
        <f t="shared" si="34"/>
        <v>AEKO - Integrovaná produkce_IP zeleniny,jahodníku a brambor</v>
      </c>
    </row>
    <row r="89" spans="1:13" x14ac:dyDescent="0.25">
      <c r="A89" s="105" t="s">
        <v>76</v>
      </c>
      <c r="B89" s="105" t="s">
        <v>223</v>
      </c>
      <c r="C89" s="112">
        <f ca="1">_xlfn.IFNA(IF(INDEX(INDIRECT(G89&amp;"!$D:$D"),MATCH(DB_PODPOR!$B89,INDIRECT(G89&amp;"!$H:$H"),0))="","–",INDEX(INDIRECT(G89&amp;"!$D:$D"),MATCH(DB_PODPOR!$B89,INDIRECT(G89&amp;"!$H:$H"),0))),0)</f>
        <v>0</v>
      </c>
      <c r="D89" s="113">
        <f>$E89*ROZCESTNIK!$I$3</f>
        <v>12190</v>
      </c>
      <c r="E89" s="113">
        <v>460</v>
      </c>
      <c r="F89" s="114">
        <f t="shared" si="38"/>
        <v>12190</v>
      </c>
      <c r="G89" s="142" t="s">
        <v>77</v>
      </c>
      <c r="H89" s="106">
        <f t="shared" ca="1" si="37"/>
        <v>15</v>
      </c>
      <c r="I89" s="107" t="s">
        <v>135</v>
      </c>
      <c r="J89" s="107">
        <f t="shared" ca="1" si="36"/>
        <v>0</v>
      </c>
      <c r="K89" s="117" t="str">
        <f t="shared" si="35"/>
        <v>Integrovaná produkce ovoce</v>
      </c>
      <c r="L89" s="107" t="s">
        <v>224</v>
      </c>
      <c r="M89" s="107" t="str">
        <f t="shared" si="34"/>
        <v>AEKO - Integrovaná produkce_IP ovoce</v>
      </c>
    </row>
    <row r="90" spans="1:13" x14ac:dyDescent="0.25">
      <c r="A90" s="105" t="s">
        <v>76</v>
      </c>
      <c r="B90" s="105" t="s">
        <v>368</v>
      </c>
      <c r="C90" s="112">
        <f ca="1">_xlfn.IFNA(IF(INDEX(INDIRECT(G90&amp;"!$D:$D"),MATCH(DB_PODPOR!$B90,INDIRECT(G90&amp;"!$H:$H"),0))="","–",INDEX(INDIRECT(G90&amp;"!$D:$D"),MATCH(DB_PODPOR!$B90,INDIRECT(G90&amp;"!$H:$H"),0))),0)</f>
        <v>0</v>
      </c>
      <c r="D90" s="113">
        <f>$E90*ROZCESTNIK!$I$3</f>
        <v>5247</v>
      </c>
      <c r="E90" s="113">
        <v>198</v>
      </c>
      <c r="F90" s="114">
        <v>10399</v>
      </c>
      <c r="G90" s="142" t="s">
        <v>77</v>
      </c>
      <c r="H90" s="106">
        <f t="shared" ca="1" si="37"/>
        <v>15</v>
      </c>
      <c r="I90" s="107" t="s">
        <v>135</v>
      </c>
      <c r="J90" s="107">
        <f ca="1">IFERROR(C90*F90,0)</f>
        <v>0</v>
      </c>
      <c r="K90" s="117" t="str">
        <f>IF(L90="",B90,L90)</f>
        <v>Integrovaná produkce vína - doplňková platba</v>
      </c>
      <c r="L90" s="107" t="s">
        <v>369</v>
      </c>
      <c r="M90" s="107" t="str">
        <f t="shared" si="34"/>
        <v>AEKO - Integrovaná produkce_IPV - doplňková platba</v>
      </c>
    </row>
    <row r="91" spans="1:13" x14ac:dyDescent="0.25">
      <c r="A91" s="105" t="s">
        <v>80</v>
      </c>
      <c r="B91" s="105" t="s">
        <v>225</v>
      </c>
      <c r="C91" s="112">
        <f ca="1">_xlfn.IFNA(IF(INDEX(INDIRECT(G91&amp;"!$D:$D"),MATCH(DB_PODPOR!$B91,INDIRECT(G91&amp;"!$H:$H"),0))="","–",INDEX(INDIRECT(G91&amp;"!$D:$D"),MATCH(DB_PODPOR!$B91,INDIRECT(G91&amp;"!$H:$H"),0))),0)</f>
        <v>0</v>
      </c>
      <c r="D91" s="113">
        <f>$E91*ROZCESTNIK!$I$3</f>
        <v>0</v>
      </c>
      <c r="E91" s="113">
        <v>0</v>
      </c>
      <c r="F91" s="114">
        <f t="shared" si="38"/>
        <v>0</v>
      </c>
      <c r="G91" s="142" t="s">
        <v>69</v>
      </c>
      <c r="H91" s="106">
        <f t="shared" ca="1" si="37"/>
        <v>17</v>
      </c>
      <c r="I91" s="107" t="s">
        <v>135</v>
      </c>
      <c r="J91" s="107">
        <f t="shared" ca="1" si="36"/>
        <v>0</v>
      </c>
      <c r="K91" s="117" t="str">
        <f t="shared" si="35"/>
        <v>Osevní postupy</v>
      </c>
      <c r="M91" s="107" t="str">
        <f t="shared" si="34"/>
        <v>AEKO - Osevní postupy_Osevní postupy</v>
      </c>
    </row>
    <row r="92" spans="1:13" x14ac:dyDescent="0.25">
      <c r="A92" s="105" t="s">
        <v>83</v>
      </c>
      <c r="B92" s="105" t="s">
        <v>226</v>
      </c>
      <c r="C92" s="112">
        <f ca="1">_xlfn.IFNA(IF(INDEX(INDIRECT(G92&amp;"!$D:$D"),MATCH(DB_PODPOR!$B92,INDIRECT(G92&amp;"!$H:$H"),0))="","–",INDEX(INDIRECT(G92&amp;"!$D:$D"),MATCH(DB_PODPOR!$B92,INDIRECT(G92&amp;"!$H:$H"),0))),0)</f>
        <v>0</v>
      </c>
      <c r="D92" s="113">
        <f>$E92*ROZCESTNIK!$I$3</f>
        <v>3922</v>
      </c>
      <c r="E92" s="113">
        <v>148</v>
      </c>
      <c r="F92" s="114">
        <f t="shared" si="38"/>
        <v>3922</v>
      </c>
      <c r="G92" s="142" t="s">
        <v>69</v>
      </c>
      <c r="H92" s="106" t="e">
        <f t="shared" si="37"/>
        <v>#N/A</v>
      </c>
      <c r="I92" s="107" t="s">
        <v>135</v>
      </c>
      <c r="J92" s="107">
        <f t="shared" ca="1" si="36"/>
        <v>0</v>
      </c>
      <c r="K92" s="117" t="str">
        <f t="shared" si="35"/>
        <v>Platba na výsledek</v>
      </c>
      <c r="M92" s="107" t="str">
        <f t="shared" si="34"/>
        <v>AEKO - Platba na výsledek_Platba na výsledek</v>
      </c>
    </row>
    <row r="93" spans="1:13" x14ac:dyDescent="0.25">
      <c r="A93" s="105" t="s">
        <v>85</v>
      </c>
      <c r="B93" s="105" t="s">
        <v>227</v>
      </c>
      <c r="C93" s="112">
        <f ca="1">_xlfn.IFNA(IF(INDEX(INDIRECT(G93&amp;"!$D:$D"),MATCH(DB_PODPOR!$B93,INDIRECT(G93&amp;"!$H:$H"),0))="","–",INDEX(INDIRECT(G93&amp;"!$D:$D"),MATCH(DB_PODPOR!$B93,INDIRECT(G93&amp;"!$H:$H"),0))),0)</f>
        <v>0</v>
      </c>
      <c r="D93" s="113">
        <f>$E93*ROZCESTNIK!$I$3</f>
        <v>4001.5</v>
      </c>
      <c r="E93" s="113">
        <v>151</v>
      </c>
      <c r="F93" s="114">
        <f t="shared" si="38"/>
        <v>4001.5</v>
      </c>
      <c r="G93" s="142" t="s">
        <v>69</v>
      </c>
      <c r="H93" s="106">
        <f t="shared" ca="1" si="37"/>
        <v>16</v>
      </c>
      <c r="I93" s="107" t="s">
        <v>135</v>
      </c>
      <c r="J93" s="107">
        <f t="shared" ca="1" si="36"/>
        <v>0</v>
      </c>
      <c r="K93" s="117" t="str">
        <f t="shared" si="35"/>
        <v>Hospodaření v OPVZ</v>
      </c>
      <c r="M93" s="107" t="str">
        <f t="shared" si="34"/>
        <v>AEKO - Hospodaření v OPVZ_Hospodaření v OPVZ</v>
      </c>
    </row>
    <row r="94" spans="1:13" x14ac:dyDescent="0.25">
      <c r="A94" s="105" t="s">
        <v>465</v>
      </c>
      <c r="B94" s="105" t="s">
        <v>228</v>
      </c>
      <c r="C94" s="112">
        <f ca="1">_xlfn.IFNA(IF(INDEX(INDIRECT(G94&amp;"!$D:$D"),MATCH(DB_PODPOR!$B94,INDIRECT(G94&amp;"!$H:$H"),0))="","–",INDEX(INDIRECT(G94&amp;"!$D:$D"),MATCH(DB_PODPOR!$B94,INDIRECT(G94&amp;"!$H:$H"),0))),0)</f>
        <v>0</v>
      </c>
      <c r="D94" s="113">
        <f>$E94*ROZCESTNIK!$I$3</f>
        <v>2650</v>
      </c>
      <c r="E94" s="113">
        <v>100</v>
      </c>
      <c r="F94" s="114">
        <f t="shared" si="38"/>
        <v>2650</v>
      </c>
      <c r="G94" s="142" t="s">
        <v>81</v>
      </c>
      <c r="H94" s="106">
        <f t="shared" ca="1" si="37"/>
        <v>16</v>
      </c>
      <c r="I94" s="107" t="s">
        <v>135</v>
      </c>
      <c r="J94" s="107">
        <f t="shared" ca="1" si="36"/>
        <v>0</v>
      </c>
      <c r="K94" s="117" t="str">
        <f t="shared" si="35"/>
        <v>Trvalé travní porosty v EZ</v>
      </c>
      <c r="L94" s="107" t="s">
        <v>228</v>
      </c>
      <c r="M94" s="107" t="str">
        <f t="shared" si="34"/>
        <v>Ekologické zemědělství_Trvalé travní porosty v EZ</v>
      </c>
    </row>
    <row r="95" spans="1:13" x14ac:dyDescent="0.25">
      <c r="A95" s="105" t="s">
        <v>465</v>
      </c>
      <c r="B95" s="105" t="s">
        <v>229</v>
      </c>
      <c r="C95" s="112">
        <f ca="1">_xlfn.IFNA(IF(INDEX(INDIRECT(G95&amp;"!$D:$D"),MATCH(DB_PODPOR!$B95,INDIRECT(G95&amp;"!$H:$H"),0))="","–",INDEX(INDIRECT(G95&amp;"!$D:$D"),MATCH(DB_PODPOR!$B95,INDIRECT(G95&amp;"!$H:$H"),0))),0)</f>
        <v>0</v>
      </c>
      <c r="D95" s="113">
        <f>$E95*ROZCESTNIK!$I$3</f>
        <v>2809</v>
      </c>
      <c r="E95" s="113">
        <v>106</v>
      </c>
      <c r="F95" s="114">
        <f t="shared" si="38"/>
        <v>2809</v>
      </c>
      <c r="G95" s="142" t="s">
        <v>81</v>
      </c>
      <c r="H95" s="106">
        <f t="shared" ca="1" si="37"/>
        <v>16</v>
      </c>
      <c r="I95" s="107" t="s">
        <v>135</v>
      </c>
      <c r="J95" s="107">
        <f t="shared" ca="1" si="36"/>
        <v>0</v>
      </c>
      <c r="K95" s="117" t="str">
        <f t="shared" si="35"/>
        <v>Trvalé travní porosty v EZ - konverze</v>
      </c>
      <c r="L95" s="107" t="s">
        <v>230</v>
      </c>
      <c r="M95" s="107" t="str">
        <f t="shared" si="34"/>
        <v>Ekologické zemědělství_Trvalé travní porosty v EZ konverze</v>
      </c>
    </row>
    <row r="96" spans="1:13" x14ac:dyDescent="0.25">
      <c r="A96" s="105" t="s">
        <v>465</v>
      </c>
      <c r="B96" s="105" t="s">
        <v>386</v>
      </c>
      <c r="C96" s="112">
        <f ca="1">_xlfn.IFNA(IF(INDEX(INDIRECT(G96&amp;"!$D:$D"),MATCH(DB_PODPOR!$B96,INDIRECT(G96&amp;"!$H:$H"),0))="","–",INDEX(INDIRECT(G96&amp;"!$D:$D"),MATCH(DB_PODPOR!$B96,INDIRECT(G96&amp;"!$H:$H"),0))),0)</f>
        <v>0</v>
      </c>
      <c r="D96" s="113">
        <f>$E96*ROZCESTNIK!$I$3</f>
        <v>3180</v>
      </c>
      <c r="E96" s="113">
        <v>120</v>
      </c>
      <c r="F96" s="114">
        <f t="shared" si="38"/>
        <v>3180</v>
      </c>
      <c r="G96" s="142" t="s">
        <v>81</v>
      </c>
      <c r="H96" s="106">
        <f t="shared" ca="1" si="37"/>
        <v>16</v>
      </c>
      <c r="I96" s="107" t="s">
        <v>135</v>
      </c>
      <c r="J96" s="107">
        <f t="shared" ca="1" si="36"/>
        <v>0</v>
      </c>
      <c r="K96" s="117" t="str">
        <f t="shared" si="35"/>
        <v>Pěstování trav a víceletých pícnin na orné půdě</v>
      </c>
      <c r="M96" s="107" t="str">
        <f t="shared" si="34"/>
        <v>Ekologické zemědělství_Pěstování trav a víceletých pícnin na orné půdě</v>
      </c>
    </row>
    <row r="97" spans="1:14" x14ac:dyDescent="0.25">
      <c r="A97" s="105" t="s">
        <v>465</v>
      </c>
      <c r="B97" s="105" t="s">
        <v>387</v>
      </c>
      <c r="C97" s="112">
        <f ca="1">_xlfn.IFNA(IF(INDEX(INDIRECT(G97&amp;"!$D:$D"),MATCH(DB_PODPOR!$B97,INDIRECT(G97&amp;"!$H:$H"),0))="","–",INDEX(INDIRECT(G97&amp;"!$D:$D"),MATCH(DB_PODPOR!$B97,INDIRECT(G97&amp;"!$H:$H"),0))),0)</f>
        <v>0</v>
      </c>
      <c r="D97" s="113">
        <f>$E97*ROZCESTNIK!$I$3</f>
        <v>3630.5</v>
      </c>
      <c r="E97" s="113">
        <v>137</v>
      </c>
      <c r="F97" s="114">
        <f t="shared" si="38"/>
        <v>3630.5</v>
      </c>
      <c r="G97" s="142" t="s">
        <v>81</v>
      </c>
      <c r="H97" s="106">
        <f t="shared" ca="1" si="37"/>
        <v>16</v>
      </c>
      <c r="I97" s="107" t="s">
        <v>135</v>
      </c>
      <c r="J97" s="107">
        <f t="shared" ca="1" si="36"/>
        <v>0</v>
      </c>
      <c r="K97" s="117" t="str">
        <f t="shared" si="35"/>
        <v>Pěstování trav a víceletých pícnin na orné půdě - konverze</v>
      </c>
      <c r="M97" s="107" t="str">
        <f t="shared" si="34"/>
        <v>Ekologické zemědělství_Pěstování trav a víceletých pícnin na orné půdě - konverze</v>
      </c>
    </row>
    <row r="98" spans="1:14" x14ac:dyDescent="0.25">
      <c r="A98" s="105" t="s">
        <v>465</v>
      </c>
      <c r="B98" s="105" t="s">
        <v>388</v>
      </c>
      <c r="C98" s="112">
        <f ca="1">_xlfn.IFNA(IF(INDEX(INDIRECT(G98&amp;"!$D:$D"),MATCH(DB_PODPOR!$B98,INDIRECT(G98&amp;"!$H:$H"),0))="","–",INDEX(INDIRECT(G98&amp;"!$D:$D"),MATCH(DB_PODPOR!$B98,INDIRECT(G98&amp;"!$H:$H"),0))),0)</f>
        <v>0</v>
      </c>
      <c r="D98" s="113">
        <f>$E98*ROZCESTNIK!$I$3</f>
        <v>16907</v>
      </c>
      <c r="E98" s="113">
        <v>638</v>
      </c>
      <c r="F98" s="114">
        <f t="shared" si="38"/>
        <v>16907</v>
      </c>
      <c r="G98" s="142" t="s">
        <v>81</v>
      </c>
      <c r="H98" s="106">
        <f t="shared" ca="1" si="37"/>
        <v>16</v>
      </c>
      <c r="I98" s="107" t="s">
        <v>135</v>
      </c>
      <c r="J98" s="107">
        <f t="shared" ca="1" si="36"/>
        <v>0</v>
      </c>
      <c r="K98" s="117" t="str">
        <f t="shared" si="35"/>
        <v>Pěstování zeleniny, speciálních bylin, brambor a jahodníku</v>
      </c>
      <c r="M98" s="107" t="str">
        <f t="shared" si="34"/>
        <v>Ekologické zemědělství_Pěstování zeleniny, speciálních bylin, brambor a jahodníku</v>
      </c>
    </row>
    <row r="99" spans="1:14" x14ac:dyDescent="0.25">
      <c r="A99" s="105" t="s">
        <v>465</v>
      </c>
      <c r="B99" s="105" t="s">
        <v>389</v>
      </c>
      <c r="C99" s="112">
        <f ca="1">_xlfn.IFNA(IF(INDEX(INDIRECT(G99&amp;"!$D:$D"),MATCH(DB_PODPOR!$B99,INDIRECT(G99&amp;"!$H:$H"),0))="","–",INDEX(INDIRECT(G99&amp;"!$D:$D"),MATCH(DB_PODPOR!$B99,INDIRECT(G99&amp;"!$H:$H"),0))),0)</f>
        <v>0</v>
      </c>
      <c r="D99" s="113">
        <f>$E99*ROZCESTNIK!$I$3</f>
        <v>17490</v>
      </c>
      <c r="E99" s="113">
        <v>660</v>
      </c>
      <c r="F99" s="114">
        <f t="shared" si="38"/>
        <v>17490</v>
      </c>
      <c r="G99" s="142" t="s">
        <v>81</v>
      </c>
      <c r="H99" s="106">
        <f t="shared" ca="1" si="37"/>
        <v>16</v>
      </c>
      <c r="I99" s="107" t="s">
        <v>135</v>
      </c>
      <c r="J99" s="107">
        <f t="shared" ca="1" si="36"/>
        <v>0</v>
      </c>
      <c r="K99" s="117" t="str">
        <f t="shared" si="35"/>
        <v>Pěstování zeleniny, speciálních bylin, brambor a jahodníku - konverze</v>
      </c>
      <c r="M99" s="107" t="str">
        <f t="shared" si="34"/>
        <v>Ekologické zemědělství_Pěstování zeleniny, speciálních bylin, brambor a jahodníku - konverze</v>
      </c>
    </row>
    <row r="100" spans="1:14" x14ac:dyDescent="0.25">
      <c r="A100" s="105" t="s">
        <v>465</v>
      </c>
      <c r="B100" s="105" t="s">
        <v>231</v>
      </c>
      <c r="C100" s="112">
        <f ca="1">_xlfn.IFNA(IF(INDEX(INDIRECT(G100&amp;"!$D:$D"),MATCH(DB_PODPOR!$B100,INDIRECT(G100&amp;"!$H:$H"),0))="","–",INDEX(INDIRECT(G100&amp;"!$D:$D"),MATCH(DB_PODPOR!$B100,INDIRECT(G100&amp;"!$H:$H"),0))),0)</f>
        <v>0</v>
      </c>
      <c r="D100" s="113">
        <f>$E100*ROZCESTNIK!$I$3</f>
        <v>6333.5</v>
      </c>
      <c r="E100" s="113">
        <v>239</v>
      </c>
      <c r="F100" s="114">
        <f t="shared" si="38"/>
        <v>6333.5</v>
      </c>
      <c r="G100" s="142" t="s">
        <v>81</v>
      </c>
      <c r="H100" s="106">
        <f t="shared" ca="1" si="37"/>
        <v>16</v>
      </c>
      <c r="I100" s="107" t="s">
        <v>135</v>
      </c>
      <c r="J100" s="107">
        <f t="shared" ca="1" si="36"/>
        <v>0</v>
      </c>
      <c r="K100" s="117" t="str">
        <f t="shared" si="35"/>
        <v>R - ostatní plodiny</v>
      </c>
      <c r="L100" s="107" t="s">
        <v>231</v>
      </c>
      <c r="M100" s="107" t="str">
        <f t="shared" si="34"/>
        <v>Ekologické zemědělství_R - ostatní plodiny</v>
      </c>
    </row>
    <row r="101" spans="1:14" x14ac:dyDescent="0.25">
      <c r="A101" s="105" t="s">
        <v>465</v>
      </c>
      <c r="B101" s="105" t="s">
        <v>232</v>
      </c>
      <c r="C101" s="112">
        <f ca="1">_xlfn.IFNA(IF(INDEX(INDIRECT(G101&amp;"!$D:$D"),MATCH(DB_PODPOR!$B101,INDIRECT(G101&amp;"!$H:$H"),0))="","–",INDEX(INDIRECT(G101&amp;"!$D:$D"),MATCH(DB_PODPOR!$B101,INDIRECT(G101&amp;"!$H:$H"),0))),0)</f>
        <v>0</v>
      </c>
      <c r="D101" s="113">
        <f>$E101*ROZCESTNIK!$I$3</f>
        <v>8559.5</v>
      </c>
      <c r="E101" s="113">
        <v>323</v>
      </c>
      <c r="F101" s="114">
        <f t="shared" si="38"/>
        <v>8559.5</v>
      </c>
      <c r="G101" s="142" t="s">
        <v>81</v>
      </c>
      <c r="H101" s="106">
        <f t="shared" ca="1" si="37"/>
        <v>16</v>
      </c>
      <c r="I101" s="107" t="s">
        <v>135</v>
      </c>
      <c r="J101" s="107">
        <f t="shared" ca="1" si="36"/>
        <v>0</v>
      </c>
      <c r="K101" s="117" t="str">
        <f t="shared" si="35"/>
        <v>R - ostatní plodiny - konverze</v>
      </c>
      <c r="L101" s="107" t="s">
        <v>233</v>
      </c>
      <c r="M101" s="107" t="str">
        <f t="shared" si="34"/>
        <v>Ekologické zemědělství_R - ostatní plodiny konverze</v>
      </c>
    </row>
    <row r="102" spans="1:14" x14ac:dyDescent="0.25">
      <c r="A102" s="105" t="s">
        <v>465</v>
      </c>
      <c r="B102" s="105" t="s">
        <v>234</v>
      </c>
      <c r="C102" s="112">
        <f ca="1">_xlfn.IFNA(IF(INDEX(INDIRECT(G102&amp;"!$D:$D"),MATCH(DB_PODPOR!$B102,INDIRECT(G102&amp;"!$H:$H"),0))="","–",INDEX(INDIRECT(G102&amp;"!$D:$D"),MATCH(DB_PODPOR!$B102,INDIRECT(G102&amp;"!$H:$H"),0))),0)</f>
        <v>0</v>
      </c>
      <c r="D102" s="113">
        <f>$E102*ROZCESTNIK!$I$3</f>
        <v>22525</v>
      </c>
      <c r="E102" s="113">
        <v>850</v>
      </c>
      <c r="F102" s="114">
        <f t="shared" si="38"/>
        <v>22525</v>
      </c>
      <c r="G102" s="142" t="s">
        <v>81</v>
      </c>
      <c r="H102" s="106">
        <f t="shared" ca="1" si="37"/>
        <v>16</v>
      </c>
      <c r="I102" s="107" t="s">
        <v>135</v>
      </c>
      <c r="J102" s="107">
        <f t="shared" ca="1" si="36"/>
        <v>0</v>
      </c>
      <c r="K102" s="117" t="str">
        <f t="shared" si="35"/>
        <v>Sady intenzivní</v>
      </c>
      <c r="L102" s="107" t="s">
        <v>234</v>
      </c>
      <c r="M102" s="107" t="str">
        <f t="shared" si="34"/>
        <v>Ekologické zemědělství_Sady intenzivní</v>
      </c>
    </row>
    <row r="103" spans="1:14" x14ac:dyDescent="0.25">
      <c r="A103" s="105" t="s">
        <v>465</v>
      </c>
      <c r="B103" s="105" t="s">
        <v>235</v>
      </c>
      <c r="C103" s="112">
        <f ca="1">_xlfn.IFNA(IF(INDEX(INDIRECT(G103&amp;"!$D:$D"),MATCH(DB_PODPOR!$B103,INDIRECT(G103&amp;"!$H:$H"),0))="","–",INDEX(INDIRECT(G103&amp;"!$D:$D"),MATCH(DB_PODPOR!$B103,INDIRECT(G103&amp;"!$H:$H"),0))),0)</f>
        <v>0</v>
      </c>
      <c r="D103" s="113">
        <f>$E103*ROZCESTNIK!$I$3</f>
        <v>23744</v>
      </c>
      <c r="E103" s="113">
        <v>896</v>
      </c>
      <c r="F103" s="114">
        <f t="shared" si="38"/>
        <v>23744</v>
      </c>
      <c r="G103" s="142" t="s">
        <v>81</v>
      </c>
      <c r="H103" s="106">
        <f t="shared" ca="1" si="37"/>
        <v>16</v>
      </c>
      <c r="I103" s="107" t="s">
        <v>135</v>
      </c>
      <c r="J103" s="107">
        <f t="shared" ca="1" si="36"/>
        <v>0</v>
      </c>
      <c r="K103" s="117" t="str">
        <f t="shared" si="35"/>
        <v>Sady intenzivní - konverze</v>
      </c>
      <c r="L103" s="107" t="s">
        <v>236</v>
      </c>
      <c r="M103" s="107" t="str">
        <f t="shared" si="34"/>
        <v>Ekologické zemědělství_Sady intenzivní konverze</v>
      </c>
    </row>
    <row r="104" spans="1:14" x14ac:dyDescent="0.25">
      <c r="A104" s="105" t="s">
        <v>465</v>
      </c>
      <c r="B104" s="105" t="s">
        <v>237</v>
      </c>
      <c r="C104" s="112">
        <f ca="1">_xlfn.IFNA(IF(INDEX(INDIRECT(G104&amp;"!$D:$D"),MATCH(DB_PODPOR!$B104,INDIRECT(G104&amp;"!$H:$H"),0))="","–",INDEX(INDIRECT(G104&amp;"!$D:$D"),MATCH(DB_PODPOR!$B104,INDIRECT(G104&amp;"!$H:$H"),0))),0)</f>
        <v>0</v>
      </c>
      <c r="D104" s="113">
        <f>$E104*ROZCESTNIK!$I$3</f>
        <v>13515</v>
      </c>
      <c r="E104" s="113">
        <v>510</v>
      </c>
      <c r="F104" s="114">
        <f t="shared" si="38"/>
        <v>13515</v>
      </c>
      <c r="G104" s="142" t="s">
        <v>81</v>
      </c>
      <c r="H104" s="106">
        <f t="shared" ca="1" si="37"/>
        <v>16</v>
      </c>
      <c r="I104" s="107" t="s">
        <v>135</v>
      </c>
      <c r="J104" s="107">
        <f t="shared" ca="1" si="36"/>
        <v>0</v>
      </c>
      <c r="K104" s="117" t="str">
        <f t="shared" si="35"/>
        <v>Sady ostatní</v>
      </c>
      <c r="L104" s="107" t="s">
        <v>237</v>
      </c>
      <c r="M104" s="107" t="str">
        <f t="shared" si="34"/>
        <v>Ekologické zemědělství_Sady ostatní</v>
      </c>
    </row>
    <row r="105" spans="1:14" x14ac:dyDescent="0.25">
      <c r="A105" s="105" t="s">
        <v>465</v>
      </c>
      <c r="B105" s="105" t="s">
        <v>238</v>
      </c>
      <c r="C105" s="112">
        <f ca="1">_xlfn.IFNA(IF(INDEX(INDIRECT(G105&amp;"!$D:$D"),MATCH(DB_PODPOR!$B105,INDIRECT(G105&amp;"!$H:$H"),0))="","–",INDEX(INDIRECT(G105&amp;"!$D:$D"),MATCH(DB_PODPOR!$B105,INDIRECT(G105&amp;"!$H:$H"),0))),0)</f>
        <v>0</v>
      </c>
      <c r="D105" s="113">
        <f>$E105*ROZCESTNIK!$I$3</f>
        <v>14204</v>
      </c>
      <c r="E105" s="113">
        <v>536</v>
      </c>
      <c r="F105" s="114">
        <f t="shared" si="38"/>
        <v>14204</v>
      </c>
      <c r="G105" s="142" t="s">
        <v>81</v>
      </c>
      <c r="H105" s="106">
        <f t="shared" ca="1" si="37"/>
        <v>16</v>
      </c>
      <c r="I105" s="107" t="s">
        <v>135</v>
      </c>
      <c r="J105" s="107">
        <f t="shared" ca="1" si="36"/>
        <v>0</v>
      </c>
      <c r="K105" s="117" t="str">
        <f t="shared" si="35"/>
        <v>Sady ostatní - kovnverze</v>
      </c>
      <c r="L105" s="107" t="s">
        <v>239</v>
      </c>
      <c r="M105" s="107" t="str">
        <f t="shared" si="34"/>
        <v>Ekologické zemědělství_Sady ostatní kovnverze</v>
      </c>
    </row>
    <row r="106" spans="1:14" x14ac:dyDescent="0.25">
      <c r="A106" s="105" t="s">
        <v>465</v>
      </c>
      <c r="B106" s="105" t="s">
        <v>240</v>
      </c>
      <c r="C106" s="112">
        <f ca="1">_xlfn.IFNA(IF(INDEX(INDIRECT(G106&amp;"!$D:$D"),MATCH(DB_PODPOR!$B106,INDIRECT(G106&amp;"!$H:$H"),0))="","–",INDEX(INDIRECT(G106&amp;"!$D:$D"),MATCH(DB_PODPOR!$B106,INDIRECT(G106&amp;"!$H:$H"),0))),0)</f>
        <v>0</v>
      </c>
      <c r="D106" s="113">
        <f>$E106*ROZCESTNIK!$I$3</f>
        <v>22445.5</v>
      </c>
      <c r="E106" s="113">
        <v>847</v>
      </c>
      <c r="F106" s="114">
        <f t="shared" si="38"/>
        <v>22445.5</v>
      </c>
      <c r="G106" s="142" t="s">
        <v>81</v>
      </c>
      <c r="H106" s="106">
        <f t="shared" ca="1" si="37"/>
        <v>16</v>
      </c>
      <c r="I106" s="107" t="s">
        <v>135</v>
      </c>
      <c r="J106" s="107">
        <f t="shared" ca="1" si="36"/>
        <v>0</v>
      </c>
      <c r="K106" s="117" t="str">
        <f t="shared" si="35"/>
        <v>Vinice a chmelnice</v>
      </c>
      <c r="L106" s="107" t="s">
        <v>240</v>
      </c>
      <c r="M106" s="107" t="str">
        <f t="shared" si="34"/>
        <v>Ekologické zemědělství_Vinice a chmelnice</v>
      </c>
    </row>
    <row r="107" spans="1:14" x14ac:dyDescent="0.25">
      <c r="A107" s="105" t="s">
        <v>465</v>
      </c>
      <c r="B107" s="105" t="s">
        <v>241</v>
      </c>
      <c r="C107" s="112">
        <f ca="1">_xlfn.IFNA(IF(INDEX(INDIRECT(G107&amp;"!$D:$D"),MATCH(DB_PODPOR!$B107,INDIRECT(G107&amp;"!$H:$H"),0))="","–",INDEX(INDIRECT(G107&amp;"!$D:$D"),MATCH(DB_PODPOR!$B107,INDIRECT(G107&amp;"!$H:$H"),0))),0)</f>
        <v>0</v>
      </c>
      <c r="D107" s="113">
        <f>$E107*ROZCESTNIK!$I$3</f>
        <v>23850</v>
      </c>
      <c r="E107" s="113">
        <v>900</v>
      </c>
      <c r="F107" s="114">
        <f t="shared" si="38"/>
        <v>23850</v>
      </c>
      <c r="G107" s="142" t="s">
        <v>81</v>
      </c>
      <c r="H107" s="106">
        <f t="shared" ref="H107:H142" ca="1" si="39">INDEX($AP$2:$AP$34,MATCH($A107,$AN$2:$AN$34,0))</f>
        <v>16</v>
      </c>
      <c r="I107" s="107" t="s">
        <v>135</v>
      </c>
      <c r="J107" s="107">
        <f t="shared" ca="1" si="36"/>
        <v>0</v>
      </c>
      <c r="K107" s="117" t="str">
        <f t="shared" si="35"/>
        <v>Vinice a chmelnice - konverze</v>
      </c>
      <c r="L107" s="107" t="s">
        <v>242</v>
      </c>
      <c r="M107" s="107" t="str">
        <f t="shared" si="34"/>
        <v>Ekologické zemědělství_Vinice a chmelnice konverze</v>
      </c>
    </row>
    <row r="108" spans="1:14" x14ac:dyDescent="0.25">
      <c r="A108" s="105" t="s">
        <v>406</v>
      </c>
      <c r="B108" s="105" t="s">
        <v>364</v>
      </c>
      <c r="C108" s="112">
        <f ca="1">_xlfn.IFNA(IF(INDEX(INDIRECT(G108&amp;"!$D:$D"),MATCH(DB_PODPOR!$B108,INDIRECT(G108&amp;"!$H:$H"),0))="","–",INDEX(INDIRECT(G108&amp;"!$D:$D"),MATCH(DB_PODPOR!$B108,INDIRECT(G108&amp;"!$H:$H"),0))),0)</f>
        <v>0</v>
      </c>
      <c r="D108" s="113">
        <f>$E108*ROZCESTNIK!$I$3</f>
        <v>2411.5</v>
      </c>
      <c r="E108" s="113">
        <v>91</v>
      </c>
      <c r="F108" s="114">
        <f t="shared" si="38"/>
        <v>2411.5</v>
      </c>
      <c r="G108" s="142" t="s">
        <v>66</v>
      </c>
      <c r="H108" s="106">
        <f t="shared" ca="1" si="39"/>
        <v>13</v>
      </c>
      <c r="I108" s="107" t="s">
        <v>135</v>
      </c>
      <c r="J108" s="107">
        <f t="shared" ca="1" si="36"/>
        <v>0</v>
      </c>
      <c r="K108" s="117" t="str">
        <f t="shared" si="35"/>
        <v>Základní titul OTP</v>
      </c>
      <c r="M108" s="107" t="str">
        <f t="shared" si="34"/>
        <v>AEKO - Ošetřování extenzivních travních porostů - EZ_Základní titul OTP</v>
      </c>
      <c r="N108" s="107" t="str">
        <f t="shared" ref="N108:N109" si="40">_xlfn.CONCAT($A108,$B108)</f>
        <v>AEKO - Ošetřování extenzivních travních porostů - EZZákladní titul OTP</v>
      </c>
    </row>
    <row r="109" spans="1:14" x14ac:dyDescent="0.25">
      <c r="A109" s="105" t="s">
        <v>406</v>
      </c>
      <c r="B109" s="105" t="s">
        <v>365</v>
      </c>
      <c r="C109" s="112">
        <f ca="1">_xlfn.IFNA(IF(INDEX(INDIRECT(G109&amp;"!$D:$D"),MATCH(DB_PODPOR!$B109,INDIRECT(G109&amp;"!$H:$H"),0))="","–",INDEX(INDIRECT(G109&amp;"!$D:$D"),MATCH(DB_PODPOR!$B109,INDIRECT(G109&amp;"!$H:$H"),0))),0)</f>
        <v>0</v>
      </c>
      <c r="D109" s="113">
        <f>$E109*ROZCESTNIK!$I$3</f>
        <v>397.5</v>
      </c>
      <c r="E109" s="113">
        <v>15</v>
      </c>
      <c r="F109" s="114">
        <f t="shared" si="38"/>
        <v>397.5</v>
      </c>
      <c r="G109" s="142" t="s">
        <v>66</v>
      </c>
      <c r="H109" s="106">
        <f t="shared" ca="1" si="39"/>
        <v>13</v>
      </c>
      <c r="I109" s="107" t="s">
        <v>135</v>
      </c>
      <c r="J109" s="107">
        <f t="shared" ca="1" si="36"/>
        <v>0</v>
      </c>
      <c r="K109" s="117" t="str">
        <f t="shared" si="35"/>
        <v>OTP management - nepokosené plochy</v>
      </c>
      <c r="M109" s="107" t="str">
        <f t="shared" si="34"/>
        <v>AEKO - Ošetřování extenzivních travních porostů - EZ_OTP management - nepokosené plochy</v>
      </c>
      <c r="N109" s="107" t="str">
        <f t="shared" si="40"/>
        <v>AEKO - Ošetřování extenzivních travních porostů - EZOTP management - nepokosené plochy</v>
      </c>
    </row>
    <row r="110" spans="1:14" x14ac:dyDescent="0.25">
      <c r="A110" s="105" t="s">
        <v>406</v>
      </c>
      <c r="B110" s="105" t="s">
        <v>196</v>
      </c>
      <c r="C110" s="112">
        <f ca="1">_xlfn.IFNA(IF(INDEX(INDIRECT(G110&amp;"!$D:$D"),MATCH(DB_PODPOR!$B110,INDIRECT(G110&amp;"!$H:$H"),0))="","–",INDEX(INDIRECT(G110&amp;"!$D:$D"),MATCH(DB_PODPOR!$B110,INDIRECT(G110&amp;"!$H:$H"),0))),0)</f>
        <v>0</v>
      </c>
      <c r="D110" s="113">
        <f>$E110*ROZCESTNIK!$I$3</f>
        <v>2597</v>
      </c>
      <c r="E110" s="113">
        <v>98</v>
      </c>
      <c r="F110" s="114">
        <f t="shared" si="38"/>
        <v>2597</v>
      </c>
      <c r="G110" s="142" t="s">
        <v>66</v>
      </c>
      <c r="H110" s="106">
        <f t="shared" ca="1" si="39"/>
        <v>13</v>
      </c>
      <c r="I110" s="107" t="s">
        <v>135</v>
      </c>
      <c r="J110" s="107">
        <f t="shared" ca="1" si="36"/>
        <v>0</v>
      </c>
      <c r="K110" s="117" t="str">
        <f t="shared" si="35"/>
        <v>Mezofilní a vlhkomilné louky hnojené</v>
      </c>
      <c r="L110" s="107" t="s">
        <v>196</v>
      </c>
      <c r="M110" s="107" t="str">
        <f t="shared" si="34"/>
        <v>AEKO - Ošetřování extenzivních travních porostů - EZ_Mezofilní a vlhkomilné louky hnojené</v>
      </c>
      <c r="N110" s="107" t="str">
        <f>_xlfn.CONCAT($A110,$B110)</f>
        <v>AEKO - Ošetřování extenzivních travních porostů - EZMezofilní a vlhkomilné louky hnojené</v>
      </c>
    </row>
    <row r="111" spans="1:14" x14ac:dyDescent="0.25">
      <c r="A111" s="105" t="s">
        <v>406</v>
      </c>
      <c r="B111" s="105" t="s">
        <v>243</v>
      </c>
      <c r="C111" s="112">
        <f ca="1">_xlfn.IFNA(IF(INDEX(INDIRECT(G111&amp;"!$D:$D"),MATCH(DB_PODPOR!$B111,INDIRECT(G111&amp;"!$H:$H"),0))="","–",INDEX(INDIRECT(G111&amp;"!$D:$D"),MATCH(DB_PODPOR!$B111,INDIRECT(G111&amp;"!$H:$H"),0))),0)</f>
        <v>0</v>
      </c>
      <c r="D111" s="113">
        <f>$E111*ROZCESTNIK!$I$3</f>
        <v>3604</v>
      </c>
      <c r="E111" s="113">
        <v>136</v>
      </c>
      <c r="F111" s="114">
        <f t="shared" si="38"/>
        <v>3604</v>
      </c>
      <c r="G111" s="142" t="s">
        <v>66</v>
      </c>
      <c r="H111" s="106">
        <f t="shared" ca="1" si="39"/>
        <v>13</v>
      </c>
      <c r="I111" s="107" t="s">
        <v>135</v>
      </c>
      <c r="J111" s="107">
        <f t="shared" ca="1" si="36"/>
        <v>0</v>
      </c>
      <c r="K111" s="117" t="str">
        <f t="shared" si="35"/>
        <v>Mezofilní a vlhkomilné louky nehnojené</v>
      </c>
      <c r="L111" s="107" t="s">
        <v>243</v>
      </c>
      <c r="M111" s="107" t="str">
        <f t="shared" si="34"/>
        <v>AEKO - Ošetřování extenzivních travních porostů - EZ_Mezofilní a vlhkomilné louky nehnojené</v>
      </c>
      <c r="N111" s="107" t="str">
        <f t="shared" ref="N111:N119" si="41">_xlfn.CONCAT($A111,$B111)</f>
        <v>AEKO - Ošetřování extenzivních travních porostů - EZMezofilní a vlhkomilné louky nehnojené</v>
      </c>
    </row>
    <row r="112" spans="1:14" x14ac:dyDescent="0.25">
      <c r="A112" s="105" t="s">
        <v>406</v>
      </c>
      <c r="B112" s="105" t="s">
        <v>200</v>
      </c>
      <c r="C112" s="112">
        <f ca="1">_xlfn.IFNA(IF(INDEX(INDIRECT(G112&amp;"!$D:$D"),MATCH(DB_PODPOR!$B112,INDIRECT(G112&amp;"!$H:$H"),0))="","–",INDEX(INDIRECT(G112&amp;"!$D:$D"),MATCH(DB_PODPOR!$B112,INDIRECT(G112&amp;"!$H:$H"),0))),0)</f>
        <v>0</v>
      </c>
      <c r="D112" s="113">
        <f>$E112*ROZCESTNIK!$I$3</f>
        <v>3180</v>
      </c>
      <c r="E112" s="113">
        <v>120</v>
      </c>
      <c r="F112" s="114">
        <f t="shared" si="38"/>
        <v>3180</v>
      </c>
      <c r="G112" s="142" t="s">
        <v>66</v>
      </c>
      <c r="H112" s="106">
        <f t="shared" ca="1" si="39"/>
        <v>13</v>
      </c>
      <c r="I112" s="107" t="s">
        <v>135</v>
      </c>
      <c r="J112" s="107">
        <f t="shared" ca="1" si="36"/>
        <v>0</v>
      </c>
      <c r="K112" s="117" t="str">
        <f t="shared" si="35"/>
        <v>Horské a suchomilné louky hnojené</v>
      </c>
      <c r="L112" s="107" t="s">
        <v>200</v>
      </c>
      <c r="M112" s="107" t="str">
        <f t="shared" si="34"/>
        <v>AEKO - Ošetřování extenzivních travních porostů - EZ_Horské a suchomilné louky hnojené</v>
      </c>
      <c r="N112" s="107" t="str">
        <f t="shared" si="41"/>
        <v>AEKO - Ošetřování extenzivních travních porostů - EZHorské a suchomilné louky hnojené</v>
      </c>
    </row>
    <row r="113" spans="1:14" x14ac:dyDescent="0.25">
      <c r="A113" s="105" t="s">
        <v>406</v>
      </c>
      <c r="B113" s="105" t="s">
        <v>204</v>
      </c>
      <c r="C113" s="112">
        <f ca="1">_xlfn.IFNA(IF(INDEX(INDIRECT(G113&amp;"!$D:$D"),MATCH(DB_PODPOR!$B113,INDIRECT(G113&amp;"!$H:$H"),0))="","–",INDEX(INDIRECT(G113&amp;"!$D:$D"),MATCH(DB_PODPOR!$B113,INDIRECT(G113&amp;"!$H:$H"),0))),0)</f>
        <v>0</v>
      </c>
      <c r="D113" s="113">
        <f>$E113*ROZCESTNIK!$I$3</f>
        <v>3577.5</v>
      </c>
      <c r="E113" s="113">
        <v>135</v>
      </c>
      <c r="F113" s="114">
        <f t="shared" si="38"/>
        <v>3577.5</v>
      </c>
      <c r="G113" s="142" t="s">
        <v>66</v>
      </c>
      <c r="H113" s="106">
        <f t="shared" ca="1" si="39"/>
        <v>13</v>
      </c>
      <c r="I113" s="107" t="s">
        <v>135</v>
      </c>
      <c r="J113" s="107">
        <f t="shared" ca="1" si="36"/>
        <v>0</v>
      </c>
      <c r="K113" s="117" t="str">
        <f t="shared" si="35"/>
        <v>Horské a suchomilné louky nehnojené</v>
      </c>
      <c r="L113" s="107" t="s">
        <v>204</v>
      </c>
      <c r="M113" s="107" t="str">
        <f t="shared" si="34"/>
        <v>AEKO - Ošetřování extenzivních travních porostů - EZ_Horské a suchomilné louky nehnojené</v>
      </c>
      <c r="N113" s="107" t="str">
        <f t="shared" si="41"/>
        <v>AEKO - Ošetřování extenzivních travních porostů - EZHorské a suchomilné louky nehnojené</v>
      </c>
    </row>
    <row r="114" spans="1:14" x14ac:dyDescent="0.25">
      <c r="A114" s="105" t="s">
        <v>406</v>
      </c>
      <c r="B114" s="105" t="s">
        <v>244</v>
      </c>
      <c r="C114" s="112">
        <f ca="1">_xlfn.IFNA(IF(INDEX(INDIRECT(G114&amp;"!$D:$D"),MATCH(DB_PODPOR!$B114,INDIRECT(G114&amp;"!$H:$H"),0))="","–",INDEX(INDIRECT(G114&amp;"!$D:$D"),MATCH(DB_PODPOR!$B114,INDIRECT(G114&amp;"!$H:$H"),0))),0)</f>
        <v>0</v>
      </c>
      <c r="D114" s="113">
        <f>$E114*ROZCESTNIK!$I$3</f>
        <v>16960</v>
      </c>
      <c r="E114" s="113">
        <v>640</v>
      </c>
      <c r="F114" s="114">
        <f t="shared" si="38"/>
        <v>16960</v>
      </c>
      <c r="G114" s="142" t="s">
        <v>66</v>
      </c>
      <c r="H114" s="106">
        <f t="shared" ca="1" si="39"/>
        <v>13</v>
      </c>
      <c r="I114" s="107" t="s">
        <v>135</v>
      </c>
      <c r="J114" s="107">
        <f t="shared" ca="1" si="36"/>
        <v>0</v>
      </c>
      <c r="K114" s="117" t="str">
        <f t="shared" si="35"/>
        <v>Trvalé podmáčené a rašelinné louky</v>
      </c>
      <c r="L114" s="107" t="s">
        <v>244</v>
      </c>
      <c r="M114" s="107" t="str">
        <f t="shared" si="34"/>
        <v>AEKO - Ošetřování extenzivních travních porostů - EZ_Trvalé podmáčené a rašelinné louky</v>
      </c>
      <c r="N114" s="107" t="str">
        <f t="shared" si="41"/>
        <v>AEKO - Ošetřování extenzivních travních porostů - EZTrvalé podmáčené a rašelinné louky</v>
      </c>
    </row>
    <row r="115" spans="1:14" x14ac:dyDescent="0.25">
      <c r="A115" s="105" t="s">
        <v>406</v>
      </c>
      <c r="B115" s="105" t="s">
        <v>245</v>
      </c>
      <c r="C115" s="112">
        <f ca="1">_xlfn.IFNA(IF(INDEX(INDIRECT(G115&amp;"!$D:$D"),MATCH(DB_PODPOR!$B115,INDIRECT(G115&amp;"!$H:$H"),0))="","–",INDEX(INDIRECT(G115&amp;"!$D:$D"),MATCH(DB_PODPOR!$B115,INDIRECT(G115&amp;"!$H:$H"),0))),0)</f>
        <v>0</v>
      </c>
      <c r="D115" s="113">
        <f>$E115*ROZCESTNIK!$I$3</f>
        <v>4293</v>
      </c>
      <c r="E115" s="113">
        <v>162</v>
      </c>
      <c r="F115" s="114">
        <f t="shared" si="38"/>
        <v>4293</v>
      </c>
      <c r="G115" s="142" t="s">
        <v>66</v>
      </c>
      <c r="H115" s="106">
        <f t="shared" ca="1" si="39"/>
        <v>13</v>
      </c>
      <c r="I115" s="107" t="s">
        <v>135</v>
      </c>
      <c r="J115" s="107">
        <f t="shared" ca="1" si="36"/>
        <v>0</v>
      </c>
      <c r="K115" s="117" t="str">
        <f t="shared" si="35"/>
        <v>Ochrana chřástala polního</v>
      </c>
      <c r="L115" s="107" t="s">
        <v>210</v>
      </c>
      <c r="M115" s="107" t="str">
        <f t="shared" si="34"/>
        <v>AEKO - Ošetřování extenzivních travních porostů - EZ_Ochrana chřástala</v>
      </c>
      <c r="N115" s="107" t="str">
        <f t="shared" si="41"/>
        <v>AEKO - Ošetřování extenzivních travních porostů - EZOchrana chřástala</v>
      </c>
    </row>
    <row r="116" spans="1:14" x14ac:dyDescent="0.25">
      <c r="A116" s="105" t="s">
        <v>406</v>
      </c>
      <c r="B116" s="105" t="s">
        <v>412</v>
      </c>
      <c r="C116" s="112">
        <f ca="1">_xlfn.IFNA(IF(INDEX(INDIRECT(G116&amp;"!$D:$D"),MATCH(DB_PODPOR!$B116,INDIRECT(G116&amp;"!$H:$H"),0))="","–",INDEX(INDIRECT(G116&amp;"!$D:$D"),MATCH(DB_PODPOR!$B116,INDIRECT(G116&amp;"!$H:$H"),0))),0)</f>
        <v>0</v>
      </c>
      <c r="D116" s="113">
        <f>$E116*ROZCESTNIK!$I$3</f>
        <v>3577.5</v>
      </c>
      <c r="E116" s="113">
        <v>135</v>
      </c>
      <c r="F116" s="114">
        <f t="shared" si="38"/>
        <v>3577.5</v>
      </c>
      <c r="G116" s="142" t="s">
        <v>66</v>
      </c>
      <c r="H116" s="106">
        <f t="shared" ca="1" si="39"/>
        <v>13</v>
      </c>
      <c r="I116" s="107" t="s">
        <v>135</v>
      </c>
      <c r="J116" s="107">
        <f t="shared" ca="1" si="36"/>
        <v>0</v>
      </c>
      <c r="K116" s="117" t="str">
        <f t="shared" si="35"/>
        <v>Ochrana modrásků</v>
      </c>
      <c r="L116" s="107" t="s">
        <v>412</v>
      </c>
      <c r="M116" s="107" t="str">
        <f t="shared" si="34"/>
        <v>AEKO - Ošetřování extenzivních travních porostů - EZ_Ochrana modrásků</v>
      </c>
      <c r="N116" s="107" t="str">
        <f t="shared" si="41"/>
        <v>AEKO - Ošetřování extenzivních travních porostů - EZOchrana modrásků</v>
      </c>
    </row>
    <row r="117" spans="1:14" x14ac:dyDescent="0.25">
      <c r="A117" s="105" t="s">
        <v>406</v>
      </c>
      <c r="B117" s="105" t="s">
        <v>211</v>
      </c>
      <c r="C117" s="112">
        <f ca="1">_xlfn.IFNA(IF(INDEX(INDIRECT(G117&amp;"!$D:$D"),MATCH(DB_PODPOR!$B117,INDIRECT(G117&amp;"!$H:$H"),0))="","–",INDEX(INDIRECT(G117&amp;"!$D:$D"),MATCH(DB_PODPOR!$B117,INDIRECT(G117&amp;"!$H:$H"),0))),0)</f>
        <v>0</v>
      </c>
      <c r="D117" s="113">
        <f>$E117*ROZCESTNIK!$I$3</f>
        <v>9328</v>
      </c>
      <c r="E117" s="113">
        <v>352</v>
      </c>
      <c r="F117" s="114">
        <f t="shared" si="38"/>
        <v>9328</v>
      </c>
      <c r="G117" s="142" t="s">
        <v>66</v>
      </c>
      <c r="H117" s="106">
        <f t="shared" ca="1" si="39"/>
        <v>13</v>
      </c>
      <c r="I117" s="107" t="s">
        <v>135</v>
      </c>
      <c r="J117" s="107">
        <f t="shared" ca="1" si="36"/>
        <v>0</v>
      </c>
      <c r="K117" s="117" t="str">
        <f t="shared" si="35"/>
        <v>Suché stepní trávníky a vřesoviště</v>
      </c>
      <c r="L117" s="107" t="s">
        <v>211</v>
      </c>
      <c r="M117" s="107" t="str">
        <f t="shared" si="34"/>
        <v>AEKO - Ošetřování extenzivních travních porostů - EZ_Suché stepní trávníky a vřesoviště</v>
      </c>
      <c r="N117" s="107" t="str">
        <f t="shared" si="41"/>
        <v>AEKO - Ošetřování extenzivních travních porostů - EZSuché stepní trávníky a vřesoviště</v>
      </c>
    </row>
    <row r="118" spans="1:14" x14ac:dyDescent="0.25">
      <c r="A118" s="105" t="s">
        <v>406</v>
      </c>
      <c r="B118" s="105" t="s">
        <v>213</v>
      </c>
      <c r="C118" s="112">
        <f ca="1">_xlfn.IFNA(IF(INDEX(INDIRECT(G118&amp;"!$D:$D"),MATCH(DB_PODPOR!$B118,INDIRECT(G118&amp;"!$H:$H"),0))="","–",INDEX(INDIRECT(G118&amp;"!$D:$D"),MATCH(DB_PODPOR!$B118,INDIRECT(G118&amp;"!$H:$H"),0))),0)</f>
        <v>0</v>
      </c>
      <c r="D118" s="113">
        <f>$E118*ROZCESTNIK!$I$3</f>
        <v>4107.5</v>
      </c>
      <c r="E118" s="113">
        <v>155</v>
      </c>
      <c r="F118" s="114">
        <f t="shared" si="38"/>
        <v>4107.5</v>
      </c>
      <c r="G118" s="142" t="s">
        <v>66</v>
      </c>
      <c r="H118" s="106">
        <f t="shared" ca="1" si="39"/>
        <v>13</v>
      </c>
      <c r="I118" s="107" t="s">
        <v>135</v>
      </c>
      <c r="J118" s="107">
        <f t="shared" ca="1" si="36"/>
        <v>0</v>
      </c>
      <c r="K118" s="117" t="str">
        <f t="shared" si="35"/>
        <v>Druhově bohaté pastviny</v>
      </c>
      <c r="L118" s="107" t="s">
        <v>213</v>
      </c>
      <c r="M118" s="107" t="str">
        <f t="shared" si="34"/>
        <v>AEKO - Ošetřování extenzivních travních porostů - EZ_Druhově bohaté pastviny</v>
      </c>
      <c r="N118" s="107" t="str">
        <f t="shared" si="41"/>
        <v>AEKO - Ošetřování extenzivních travních porostů - EZDruhově bohaté pastviny</v>
      </c>
    </row>
    <row r="119" spans="1:14" x14ac:dyDescent="0.25">
      <c r="A119" s="105" t="s">
        <v>406</v>
      </c>
      <c r="B119" s="105" t="s">
        <v>226</v>
      </c>
      <c r="C119" s="112">
        <f ca="1">_xlfn.IFNA(IF(INDEX(INDIRECT(G119&amp;"!$D:$D"),MATCH(DB_PODPOR!$B119,INDIRECT(G119&amp;"!$H:$H"),0))="","–",INDEX(INDIRECT(G119&amp;"!$D:$D"),MATCH(DB_PODPOR!$B119,INDIRECT(G119&amp;"!$H:$H"),0))),0)</f>
        <v>0</v>
      </c>
      <c r="D119" s="113">
        <f>$E119*ROZCESTNIK!$I$3</f>
        <v>3922</v>
      </c>
      <c r="E119" s="113">
        <v>148</v>
      </c>
      <c r="F119" s="114">
        <f>D119</f>
        <v>3922</v>
      </c>
      <c r="G119" s="142" t="s">
        <v>66</v>
      </c>
      <c r="H119" s="106">
        <f t="shared" ca="1" si="39"/>
        <v>13</v>
      </c>
      <c r="I119" s="107" t="s">
        <v>135</v>
      </c>
      <c r="J119" s="107">
        <f ca="1">IFERROR(C119*F119,0)</f>
        <v>0</v>
      </c>
      <c r="K119" s="117" t="str">
        <f>IF(L119="",B119,L119)</f>
        <v>Platba na výsledek</v>
      </c>
      <c r="L119" s="107" t="s">
        <v>226</v>
      </c>
      <c r="M119" s="107" t="str">
        <f t="shared" si="34"/>
        <v>AEKO - Ošetřování extenzivních travních porostů - EZ_Platba na výsledek</v>
      </c>
      <c r="N119" s="107" t="str">
        <f t="shared" si="41"/>
        <v>AEKO - Ošetřování extenzivních travních porostů - EZPlatba na výsledek</v>
      </c>
    </row>
    <row r="120" spans="1:14" x14ac:dyDescent="0.25">
      <c r="A120" s="105" t="s">
        <v>94</v>
      </c>
      <c r="B120" s="105" t="s">
        <v>390</v>
      </c>
      <c r="C120" s="112">
        <f ca="1">_xlfn.IFNA(IF(INDEX(INDIRECT(G120&amp;"!$D:$D"),MATCH(DB_PODPOR!$B120,INDIRECT(G120&amp;"!$H:$H"),0))="","–",INDEX(INDIRECT(G120&amp;"!$D:$D"),MATCH(DB_PODPOR!$B120,INDIRECT(G120&amp;"!$H:$H"),0))),0)</f>
        <v>0</v>
      </c>
      <c r="D120" s="113">
        <f>$E120*ROZCESTNIK!$I$3</f>
        <v>2517.5</v>
      </c>
      <c r="E120" s="113">
        <v>95</v>
      </c>
      <c r="F120" s="114">
        <f t="shared" si="38"/>
        <v>2517.5</v>
      </c>
      <c r="G120" s="142" t="s">
        <v>95</v>
      </c>
      <c r="H120" s="106">
        <f t="shared" ca="1" si="39"/>
        <v>18</v>
      </c>
      <c r="I120" s="107" t="s">
        <v>135</v>
      </c>
      <c r="J120" s="107">
        <f t="shared" ca="1" si="36"/>
        <v>0</v>
      </c>
      <c r="K120" s="117" t="str">
        <f t="shared" si="35"/>
        <v>Oblasti se zákazem hnojit (I. zóny CHKO)</v>
      </c>
      <c r="M120" s="107" t="str">
        <f t="shared" si="34"/>
        <v>NATURA 2000_Oblasti se zákazem hnojit (I. zóny CHKO)</v>
      </c>
    </row>
    <row r="121" spans="1:14" x14ac:dyDescent="0.25">
      <c r="A121" s="105" t="s">
        <v>94</v>
      </c>
      <c r="B121" s="105" t="s">
        <v>391</v>
      </c>
      <c r="C121" s="112">
        <f ca="1">_xlfn.IFNA(IF(INDEX(INDIRECT(G121&amp;"!$D:$D"),MATCH(DB_PODPOR!$B121,INDIRECT(G121&amp;"!$H:$H"),0))="","–",INDEX(INDIRECT(G121&amp;"!$D:$D"),MATCH(DB_PODPOR!$B121,INDIRECT(G121&amp;"!$H:$H"),0))),0)</f>
        <v>0</v>
      </c>
      <c r="D121" s="113">
        <f>$E121*ROZCESTNIK!$I$3</f>
        <v>1484</v>
      </c>
      <c r="E121" s="113">
        <v>56</v>
      </c>
      <c r="F121" s="114">
        <f t="shared" si="38"/>
        <v>1484</v>
      </c>
      <c r="G121" s="142" t="s">
        <v>95</v>
      </c>
      <c r="H121" s="106">
        <f t="shared" ca="1" si="39"/>
        <v>18</v>
      </c>
      <c r="I121" s="107" t="s">
        <v>135</v>
      </c>
      <c r="J121" s="107">
        <f t="shared" ca="1" si="36"/>
        <v>0</v>
      </c>
      <c r="K121" s="117" t="str">
        <f t="shared" si="35"/>
        <v>Oblasti se zákazem hnojení průmyslovými hnojivy (NP)</v>
      </c>
      <c r="M121" s="107" t="str">
        <f t="shared" si="34"/>
        <v>NATURA 2000_Oblasti se zákazem hnojení průmyslovými hnojivy (NP)</v>
      </c>
    </row>
    <row r="122" spans="1:14" x14ac:dyDescent="0.25">
      <c r="A122" s="105" t="s">
        <v>19</v>
      </c>
      <c r="B122" s="105" t="s">
        <v>246</v>
      </c>
      <c r="C122" s="112">
        <f ca="1">_xlfn.IFNA(IF(INDEX(INDIRECT(G122&amp;"!$D:$D"),MATCH(DB_PODPOR!$B122,INDIRECT(G122&amp;"!$H:$H"),0))="","–",INDEX(INDIRECT(G122&amp;"!$D:$D"),MATCH(DB_PODPOR!$B122,INDIRECT(G122&amp;"!$H:$H"),0))),0)</f>
        <v>0</v>
      </c>
      <c r="D122" s="113">
        <f>$E122*ROZCESTNIK!$I$3</f>
        <v>874.5</v>
      </c>
      <c r="E122" s="113">
        <v>33</v>
      </c>
      <c r="F122" s="114">
        <f t="shared" si="38"/>
        <v>874.5</v>
      </c>
      <c r="G122" s="143" t="s">
        <v>97</v>
      </c>
      <c r="H122" s="106">
        <f t="shared" ca="1" si="39"/>
        <v>19</v>
      </c>
      <c r="I122" s="107" t="s">
        <v>135</v>
      </c>
      <c r="J122" s="107">
        <f t="shared" ca="1" si="36"/>
        <v>0</v>
      </c>
      <c r="K122" s="117" t="str">
        <f t="shared" si="35"/>
        <v>Životní podmínky prasniček</v>
      </c>
      <c r="M122" s="107" t="str">
        <f t="shared" si="34"/>
        <v>Dobré životní podmínky zvířat_Životní podmínky prasniček</v>
      </c>
    </row>
    <row r="123" spans="1:14" x14ac:dyDescent="0.25">
      <c r="A123" s="105" t="s">
        <v>19</v>
      </c>
      <c r="B123" s="105" t="s">
        <v>247</v>
      </c>
      <c r="C123" s="112">
        <f ca="1">_xlfn.IFNA(IF(INDEX(INDIRECT(G123&amp;"!$D:$D"),MATCH(DB_PODPOR!$B123,INDIRECT(G123&amp;"!$H:$H"),0))="","–",INDEX(INDIRECT(G123&amp;"!$D:$D"),MATCH(DB_PODPOR!$B123,INDIRECT(G123&amp;"!$H:$H"),0))),0)</f>
        <v>0</v>
      </c>
      <c r="D123" s="113">
        <f>$E123*ROZCESTNIK!$I$3</f>
        <v>1616.5</v>
      </c>
      <c r="E123" s="113">
        <v>61</v>
      </c>
      <c r="F123" s="114">
        <f t="shared" si="38"/>
        <v>1616.5</v>
      </c>
      <c r="G123" s="143" t="s">
        <v>97</v>
      </c>
      <c r="H123" s="106">
        <f t="shared" ca="1" si="39"/>
        <v>19</v>
      </c>
      <c r="I123" s="107" t="s">
        <v>135</v>
      </c>
      <c r="J123" s="107">
        <f t="shared" ca="1" si="36"/>
        <v>0</v>
      </c>
      <c r="K123" s="117" t="str">
        <f t="shared" si="35"/>
        <v>Životní podmínky prasnic</v>
      </c>
      <c r="M123" s="107" t="str">
        <f t="shared" si="34"/>
        <v>Dobré životní podmínky zvířat_Životní podmínky prasnic</v>
      </c>
    </row>
    <row r="124" spans="1:14" x14ac:dyDescent="0.25">
      <c r="A124" s="105" t="s">
        <v>19</v>
      </c>
      <c r="B124" s="105" t="s">
        <v>248</v>
      </c>
      <c r="C124" s="112">
        <f ca="1">_xlfn.IFNA(IF(INDEX(INDIRECT(G124&amp;"!$D:$D"),MATCH(DB_PODPOR!$B124,INDIRECT(G124&amp;"!$H:$H"),0))="","–",INDEX(INDIRECT(G124&amp;"!$D:$D"),MATCH(DB_PODPOR!$B124,INDIRECT(G124&amp;"!$H:$H"),0))),0)</f>
        <v>0</v>
      </c>
      <c r="D124" s="113">
        <f>$E124*ROZCESTNIK!$I$3</f>
        <v>1987.5</v>
      </c>
      <c r="E124" s="113">
        <v>75</v>
      </c>
      <c r="F124" s="114">
        <f t="shared" si="38"/>
        <v>1987.5</v>
      </c>
      <c r="G124" s="143" t="s">
        <v>97</v>
      </c>
      <c r="H124" s="106">
        <f t="shared" ca="1" si="39"/>
        <v>19</v>
      </c>
      <c r="I124" s="107" t="s">
        <v>135</v>
      </c>
      <c r="J124" s="107">
        <f t="shared" ca="1" si="36"/>
        <v>0</v>
      </c>
      <c r="K124" s="117" t="str">
        <f t="shared" si="35"/>
        <v>Plocha pro odstavená selata</v>
      </c>
      <c r="M124" s="107" t="str">
        <f t="shared" si="34"/>
        <v>Dobré životní podmínky zvířat_Plocha pro odstavená selata</v>
      </c>
    </row>
    <row r="125" spans="1:14" x14ac:dyDescent="0.25">
      <c r="A125" s="105" t="s">
        <v>19</v>
      </c>
      <c r="B125" s="105" t="s">
        <v>249</v>
      </c>
      <c r="C125" s="112">
        <f ca="1">_xlfn.IFNA(IF(INDEX(INDIRECT(G125&amp;"!$D:$D"),MATCH(DB_PODPOR!$B125,INDIRECT(G125&amp;"!$H:$H"),0))="","–",INDEX(INDIRECT(G125&amp;"!$D:$D"),MATCH(DB_PODPOR!$B125,INDIRECT(G125&amp;"!$H:$H"),0))),0)</f>
        <v>0</v>
      </c>
      <c r="D125" s="113">
        <f>$E125*ROZCESTNIK!$I$3</f>
        <v>0</v>
      </c>
      <c r="E125" s="113">
        <v>0</v>
      </c>
      <c r="F125" s="114">
        <f t="shared" si="38"/>
        <v>0</v>
      </c>
      <c r="G125" s="143" t="s">
        <v>97</v>
      </c>
      <c r="H125" s="106">
        <f t="shared" ca="1" si="39"/>
        <v>19</v>
      </c>
      <c r="I125" s="107" t="s">
        <v>135</v>
      </c>
      <c r="J125" s="107">
        <f t="shared" ca="1" si="36"/>
        <v>0</v>
      </c>
      <c r="K125" s="117" t="str">
        <f t="shared" si="35"/>
        <v>Obohacení krmné směsi nosnic</v>
      </c>
      <c r="M125" s="107" t="str">
        <f t="shared" si="34"/>
        <v>Dobré životní podmínky zvířat_Obohacení krmné směsi nosnic</v>
      </c>
    </row>
    <row r="126" spans="1:14" x14ac:dyDescent="0.25">
      <c r="A126" s="105" t="s">
        <v>19</v>
      </c>
      <c r="B126" s="105" t="s">
        <v>250</v>
      </c>
      <c r="C126" s="112">
        <f ca="1">_xlfn.IFNA(IF(INDEX(INDIRECT(G126&amp;"!$D:$D"),MATCH(DB_PODPOR!$B126,INDIRECT(G126&amp;"!$H:$H"),0))="","–",INDEX(INDIRECT(G126&amp;"!$D:$D"),MATCH(DB_PODPOR!$B126,INDIRECT(G126&amp;"!$H:$H"),0))),0)</f>
        <v>0</v>
      </c>
      <c r="D126" s="113">
        <f>$E126*ROZCESTNIK!$I$3</f>
        <v>0</v>
      </c>
      <c r="E126" s="113">
        <v>0</v>
      </c>
      <c r="F126" s="114">
        <f t="shared" si="38"/>
        <v>0</v>
      </c>
      <c r="G126" s="143" t="s">
        <v>97</v>
      </c>
      <c r="H126" s="106">
        <f t="shared" ca="1" si="39"/>
        <v>19</v>
      </c>
      <c r="I126" s="107" t="s">
        <v>135</v>
      </c>
      <c r="J126" s="107">
        <f t="shared" ca="1" si="36"/>
        <v>0</v>
      </c>
      <c r="K126" s="117" t="str">
        <f t="shared" si="35"/>
        <v>Životní prostředí nosnic a výkrmových kuřat</v>
      </c>
      <c r="M126" s="107" t="str">
        <f t="shared" si="34"/>
        <v>Dobré životní podmínky zvířat_Životní prostředí nosnic a výkrmových kuřat</v>
      </c>
    </row>
    <row r="127" spans="1:14" x14ac:dyDescent="0.25">
      <c r="A127" s="105" t="s">
        <v>19</v>
      </c>
      <c r="B127" s="105" t="s">
        <v>251</v>
      </c>
      <c r="C127" s="112">
        <f ca="1">_xlfn.IFNA(IF(INDEX(INDIRECT(G127&amp;"!$D:$D"),MATCH(DB_PODPOR!$B127,INDIRECT(G127&amp;"!$H:$H"),0))="","–",INDEX(INDIRECT(G127&amp;"!$D:$D"),MATCH(DB_PODPOR!$B127,INDIRECT(G127&amp;"!$H:$H"),0))),0)</f>
        <v>0</v>
      </c>
      <c r="D127" s="113">
        <f>$E127*ROZCESTNIK!$I$3</f>
        <v>1590</v>
      </c>
      <c r="E127" s="113">
        <v>60</v>
      </c>
      <c r="F127" s="114">
        <f t="shared" si="38"/>
        <v>1590</v>
      </c>
      <c r="G127" s="143" t="s">
        <v>97</v>
      </c>
      <c r="H127" s="106">
        <f t="shared" ca="1" si="39"/>
        <v>19</v>
      </c>
      <c r="I127" s="107" t="s">
        <v>135</v>
      </c>
      <c r="J127" s="107">
        <f t="shared" ca="1" si="36"/>
        <v>0</v>
      </c>
      <c r="K127" s="117" t="str">
        <f t="shared" si="35"/>
        <v>Stájové prostředí dojeného skotu</v>
      </c>
      <c r="M127" s="107" t="str">
        <f t="shared" si="34"/>
        <v>Dobré životní podmínky zvířat_Stájové prostředí dojeného skotu</v>
      </c>
    </row>
    <row r="128" spans="1:14" x14ac:dyDescent="0.25">
      <c r="A128" s="105" t="s">
        <v>19</v>
      </c>
      <c r="B128" s="105" t="s">
        <v>468</v>
      </c>
      <c r="C128" s="112">
        <f ca="1">_xlfn.IFNA(IF(INDEX(INDIRECT(G128&amp;"!$D:$D"),MATCH(DB_PODPOR!$B128,INDIRECT(G128&amp;"!$H:$H"),0))="","–",INDEX(INDIRECT(G128&amp;"!$D:$D"),MATCH(DB_PODPOR!$B128,INDIRECT(G128&amp;"!$H:$H"),0))),0)</f>
        <v>0</v>
      </c>
      <c r="D128" s="113">
        <f>$E128*ROZCESTNIK!$I$3</f>
        <v>424</v>
      </c>
      <c r="E128" s="113">
        <v>16</v>
      </c>
      <c r="F128" s="114">
        <f t="shared" si="38"/>
        <v>424</v>
      </c>
      <c r="G128" s="143" t="s">
        <v>97</v>
      </c>
      <c r="H128" s="106">
        <f t="shared" ca="1" si="39"/>
        <v>19</v>
      </c>
      <c r="I128" s="107" t="s">
        <v>135</v>
      </c>
      <c r="J128" s="107">
        <f t="shared" ca="1" si="36"/>
        <v>0</v>
      </c>
      <c r="K128" s="117" t="str">
        <f t="shared" si="35"/>
        <v>Zvětšení lehacího prostoru v chovu dojnic</v>
      </c>
      <c r="M128" s="107" t="str">
        <f t="shared" si="34"/>
        <v>Dobré životní podmínky zvířat_Zvětšení lehacího prostoru v chovu dojnic</v>
      </c>
    </row>
    <row r="129" spans="1:14" x14ac:dyDescent="0.25">
      <c r="A129" s="105" t="s">
        <v>19</v>
      </c>
      <c r="B129" s="105" t="s">
        <v>252</v>
      </c>
      <c r="C129" s="112">
        <f ca="1">_xlfn.IFNA(IF(INDEX(INDIRECT(G129&amp;"!$D:$D"),MATCH(DB_PODPOR!$B129,INDIRECT(G129&amp;"!$H:$H"),0))="","–",INDEX(INDIRECT(G129&amp;"!$D:$D"),MATCH(DB_PODPOR!$B129,INDIRECT(G129&amp;"!$H:$H"),0))),0)</f>
        <v>0</v>
      </c>
      <c r="D129" s="113">
        <f>$E129*ROZCESTNIK!$I$3</f>
        <v>1166</v>
      </c>
      <c r="E129" s="113">
        <v>44</v>
      </c>
      <c r="F129" s="114">
        <f t="shared" si="38"/>
        <v>1166</v>
      </c>
      <c r="G129" s="143" t="s">
        <v>97</v>
      </c>
      <c r="H129" s="106">
        <f t="shared" ca="1" si="39"/>
        <v>19</v>
      </c>
      <c r="I129" s="107" t="s">
        <v>135</v>
      </c>
      <c r="J129" s="107">
        <f t="shared" ca="1" si="36"/>
        <v>0</v>
      </c>
      <c r="K129" s="117" t="str">
        <f t="shared" si="35"/>
        <v>Výběh pro suchostojné krávy</v>
      </c>
      <c r="M129" s="107" t="str">
        <f t="shared" si="34"/>
        <v>Dobré životní podmínky zvířat_Výběh pro suchostojné krávy</v>
      </c>
    </row>
    <row r="130" spans="1:14" x14ac:dyDescent="0.25">
      <c r="A130" s="105" t="s">
        <v>19</v>
      </c>
      <c r="B130" s="105" t="s">
        <v>253</v>
      </c>
      <c r="C130" s="112">
        <f ca="1">_xlfn.IFNA(IF(INDEX(INDIRECT(G130&amp;"!$D:$D"),MATCH(DB_PODPOR!$B130,INDIRECT(G130&amp;"!$H:$H"),0))="","–",INDEX(INDIRECT(G130&amp;"!$D:$D"),MATCH(DB_PODPOR!$B130,INDIRECT(G130&amp;"!$H:$H"),0))),0)</f>
        <v>0</v>
      </c>
      <c r="D130" s="113">
        <f>$E130*ROZCESTNIK!$I$3</f>
        <v>0</v>
      </c>
      <c r="E130" s="113">
        <v>0</v>
      </c>
      <c r="F130" s="114">
        <f t="shared" si="38"/>
        <v>0</v>
      </c>
      <c r="G130" s="143" t="s">
        <v>97</v>
      </c>
      <c r="H130" s="106">
        <f t="shared" ca="1" si="39"/>
        <v>19</v>
      </c>
      <c r="I130" s="107" t="s">
        <v>135</v>
      </c>
      <c r="J130" s="107">
        <f t="shared" ca="1" si="36"/>
        <v>0</v>
      </c>
      <c r="K130" s="117" t="str">
        <f t="shared" si="35"/>
        <v>Životní podmínky telat dojeného skotu</v>
      </c>
      <c r="M130" s="107" t="str">
        <f t="shared" si="34"/>
        <v>Dobré životní podmínky zvířat_Životní podmínky telat dojeného skotu</v>
      </c>
    </row>
    <row r="131" spans="1:14" x14ac:dyDescent="0.25">
      <c r="A131" s="105" t="s">
        <v>99</v>
      </c>
      <c r="B131" s="105" t="s">
        <v>254</v>
      </c>
      <c r="C131" s="112">
        <f ca="1">_xlfn.IFNA(IF(INDEX(INDIRECT(G131&amp;"!$D:$D"),MATCH(DB_PODPOR!$B131,INDIRECT(G131&amp;"!$H:$H"),0))="","–",INDEX(INDIRECT(G131&amp;"!$D:$D"),MATCH(DB_PODPOR!$B131,INDIRECT(G131&amp;"!$H:$H"),0))),0)</f>
        <v>0</v>
      </c>
      <c r="D131" s="113">
        <f>$E131*ROZCESTNIK!$I$3</f>
        <v>0</v>
      </c>
      <c r="E131" s="113">
        <v>0</v>
      </c>
      <c r="F131" s="114">
        <f t="shared" si="38"/>
        <v>0</v>
      </c>
      <c r="G131" s="143" t="s">
        <v>100</v>
      </c>
      <c r="H131" s="106">
        <f t="shared" ca="1" si="39"/>
        <v>20</v>
      </c>
      <c r="I131" s="107" t="s">
        <v>135</v>
      </c>
      <c r="J131" s="107">
        <f t="shared" ca="1" si="36"/>
        <v>0</v>
      </c>
      <c r="K131" s="117" t="str">
        <f t="shared" si="35"/>
        <v>Selekční boxy pro prasata</v>
      </c>
      <c r="L131" s="107" t="s">
        <v>254</v>
      </c>
      <c r="M131" s="107" t="str">
        <f t="shared" si="34"/>
        <v>Snižování používání antimikrobik_Selekční boxy pro prasata</v>
      </c>
    </row>
    <row r="132" spans="1:14" x14ac:dyDescent="0.25">
      <c r="A132" s="105" t="s">
        <v>99</v>
      </c>
      <c r="B132" s="105" t="s">
        <v>255</v>
      </c>
      <c r="C132" s="112">
        <f ca="1">_xlfn.IFNA(IF(INDEX(INDIRECT(G132&amp;"!$D:$D"),MATCH(DB_PODPOR!$B132,INDIRECT(G132&amp;"!$H:$H"),0))="","–",INDEX(INDIRECT(G132&amp;"!$D:$D"),MATCH(DB_PODPOR!$B132,INDIRECT(G132&amp;"!$H:$H"),0))),0)</f>
        <v>0</v>
      </c>
      <c r="D132" s="113">
        <f>$E132*ROZCESTNIK!$I$3</f>
        <v>0</v>
      </c>
      <c r="E132" s="113">
        <v>0</v>
      </c>
      <c r="F132" s="114">
        <f t="shared" si="38"/>
        <v>0</v>
      </c>
      <c r="G132" s="143" t="s">
        <v>100</v>
      </c>
      <c r="H132" s="106">
        <f t="shared" ca="1" si="39"/>
        <v>20</v>
      </c>
      <c r="I132" s="107" t="s">
        <v>135</v>
      </c>
      <c r="J132" s="107">
        <f t="shared" ca="1" si="36"/>
        <v>0</v>
      </c>
      <c r="K132" s="117" t="str">
        <f t="shared" si="35"/>
        <v>Vakcinace prasnic</v>
      </c>
      <c r="L132" s="107" t="s">
        <v>255</v>
      </c>
      <c r="M132" s="107" t="str">
        <f t="shared" si="34"/>
        <v>Snižování používání antimikrobik_Vakcinace prasnic</v>
      </c>
    </row>
    <row r="133" spans="1:14" x14ac:dyDescent="0.25">
      <c r="A133" s="105" t="s">
        <v>99</v>
      </c>
      <c r="B133" s="105" t="s">
        <v>256</v>
      </c>
      <c r="C133" s="112">
        <f ca="1">_xlfn.IFNA(IF(INDEX(INDIRECT(G133&amp;"!$D:$D"),MATCH(DB_PODPOR!$B133,INDIRECT(G133&amp;"!$H:$H"),0))="","–",INDEX(INDIRECT(G133&amp;"!$D:$D"),MATCH(DB_PODPOR!$B133,INDIRECT(G133&amp;"!$H:$H"),0))),0)</f>
        <v>0</v>
      </c>
      <c r="D133" s="113">
        <f>$E133*ROZCESTNIK!$I$3</f>
        <v>0</v>
      </c>
      <c r="E133" s="113">
        <v>0</v>
      </c>
      <c r="F133" s="114">
        <f t="shared" si="38"/>
        <v>0</v>
      </c>
      <c r="G133" s="143" t="s">
        <v>100</v>
      </c>
      <c r="H133" s="106">
        <f t="shared" ca="1" si="39"/>
        <v>20</v>
      </c>
      <c r="I133" s="107" t="s">
        <v>135</v>
      </c>
      <c r="J133" s="107">
        <f t="shared" ca="1" si="36"/>
        <v>0</v>
      </c>
      <c r="K133" s="117" t="str">
        <f t="shared" si="35"/>
        <v>Vakcinace prasniček</v>
      </c>
      <c r="L133" s="107" t="s">
        <v>256</v>
      </c>
      <c r="M133" s="107" t="str">
        <f t="shared" si="34"/>
        <v>Snižování používání antimikrobik_Vakcinace prasniček</v>
      </c>
    </row>
    <row r="134" spans="1:14" x14ac:dyDescent="0.25">
      <c r="A134" s="105" t="s">
        <v>99</v>
      </c>
      <c r="B134" s="105" t="s">
        <v>257</v>
      </c>
      <c r="C134" s="112">
        <f ca="1">_xlfn.IFNA(IF(INDEX(INDIRECT(G134&amp;"!$D:$D"),MATCH(DB_PODPOR!$B134,INDIRECT(G134&amp;"!$H:$H"),0))="","–",INDEX(INDIRECT(G134&amp;"!$D:$D"),MATCH(DB_PODPOR!$B134,INDIRECT(G134&amp;"!$H:$H"),0))),0)</f>
        <v>0</v>
      </c>
      <c r="D134" s="113">
        <f>$E134*ROZCESTNIK!$I$3</f>
        <v>0</v>
      </c>
      <c r="E134" s="113">
        <v>0</v>
      </c>
      <c r="F134" s="114">
        <f t="shared" si="38"/>
        <v>0</v>
      </c>
      <c r="G134" s="143" t="s">
        <v>100</v>
      </c>
      <c r="H134" s="106">
        <f t="shared" ca="1" si="39"/>
        <v>20</v>
      </c>
      <c r="I134" s="107" t="s">
        <v>135</v>
      </c>
      <c r="J134" s="107">
        <f t="shared" ca="1" si="36"/>
        <v>0</v>
      </c>
      <c r="K134" s="117" t="str">
        <f t="shared" si="35"/>
        <v>Vakcinace odstavených selat v předvýkrmu</v>
      </c>
      <c r="L134" s="107" t="s">
        <v>258</v>
      </c>
      <c r="M134" s="107" t="str">
        <f t="shared" si="34"/>
        <v>Snižování používání antimikrobik_vakcinace odstavených selat v předvýkrmu</v>
      </c>
    </row>
    <row r="135" spans="1:14" x14ac:dyDescent="0.25">
      <c r="A135" s="105" t="s">
        <v>99</v>
      </c>
      <c r="B135" s="105" t="s">
        <v>259</v>
      </c>
      <c r="C135" s="112">
        <f ca="1">_xlfn.IFNA(IF(INDEX(INDIRECT(G135&amp;"!$D:$D"),MATCH(DB_PODPOR!$B135,INDIRECT(G135&amp;"!$H:$H"),0))="","–",INDEX(INDIRECT(G135&amp;"!$D:$D"),MATCH(DB_PODPOR!$B135,INDIRECT(G135&amp;"!$H:$H"),0))),0)</f>
        <v>0</v>
      </c>
      <c r="D135" s="113">
        <f>$E135*ROZCESTNIK!$I$3</f>
        <v>0</v>
      </c>
      <c r="E135" s="113">
        <v>0</v>
      </c>
      <c r="F135" s="114">
        <f t="shared" si="38"/>
        <v>0</v>
      </c>
      <c r="G135" s="143" t="s">
        <v>100</v>
      </c>
      <c r="H135" s="106">
        <f t="shared" ca="1" si="39"/>
        <v>20</v>
      </c>
      <c r="I135" s="107" t="s">
        <v>135</v>
      </c>
      <c r="J135" s="107">
        <f t="shared" ca="1" si="36"/>
        <v>0</v>
      </c>
      <c r="K135" s="117" t="str">
        <f t="shared" si="35"/>
        <v>Vakcinace selat ve výkrmu</v>
      </c>
      <c r="L135" s="107" t="s">
        <v>260</v>
      </c>
      <c r="M135" s="107" t="str">
        <f t="shared" ref="M135:M151" si="42">_xlfn.CONCAT(TRIM(A135),"_",TRIM(B135))</f>
        <v>Snižování používání antimikrobik_vakcinace selat ve výkrmu</v>
      </c>
    </row>
    <row r="136" spans="1:14" x14ac:dyDescent="0.25">
      <c r="A136" s="105" t="s">
        <v>99</v>
      </c>
      <c r="B136" s="105" t="s">
        <v>261</v>
      </c>
      <c r="C136" s="112">
        <f ca="1">_xlfn.IFNA(IF(INDEX(INDIRECT(G136&amp;"!$D:$D"),MATCH(DB_PODPOR!$B136,INDIRECT(G136&amp;"!$H:$H"),0))="","–",INDEX(INDIRECT(G136&amp;"!$D:$D"),MATCH(DB_PODPOR!$B136,INDIRECT(G136&amp;"!$H:$H"),0))),0)</f>
        <v>0</v>
      </c>
      <c r="D136" s="113">
        <f>$E136*ROZCESTNIK!$I$3</f>
        <v>0</v>
      </c>
      <c r="E136" s="113">
        <v>0</v>
      </c>
      <c r="F136" s="114">
        <f t="shared" si="38"/>
        <v>0</v>
      </c>
      <c r="G136" s="143" t="s">
        <v>100</v>
      </c>
      <c r="H136" s="106">
        <f t="shared" ca="1" si="39"/>
        <v>20</v>
      </c>
      <c r="I136" s="107" t="s">
        <v>135</v>
      </c>
      <c r="J136" s="107">
        <f t="shared" ca="1" si="36"/>
        <v>0</v>
      </c>
      <c r="K136" s="117" t="str">
        <f t="shared" si="35"/>
        <v>Zajištění příjmu mleziva pro selata</v>
      </c>
      <c r="L136" s="107" t="s">
        <v>261</v>
      </c>
      <c r="M136" s="107" t="str">
        <f t="shared" si="42"/>
        <v>Snižování používání antimikrobik_Zajištění příjmu mleziva pro selata</v>
      </c>
    </row>
    <row r="137" spans="1:14" x14ac:dyDescent="0.25">
      <c r="A137" s="105" t="s">
        <v>99</v>
      </c>
      <c r="B137" s="105" t="s">
        <v>262</v>
      </c>
      <c r="C137" s="112">
        <f ca="1">_xlfn.IFNA(IF(INDEX(INDIRECT(G137&amp;"!$D:$D"),MATCH(DB_PODPOR!$B137,INDIRECT(G137&amp;"!$H:$H"),0))="","–",INDEX(INDIRECT(G137&amp;"!$D:$D"),MATCH(DB_PODPOR!$B137,INDIRECT(G137&amp;"!$H:$H"),0))),0)</f>
        <v>0</v>
      </c>
      <c r="D137" s="113">
        <f>$E137*ROZCESTNIK!$I$3</f>
        <v>0</v>
      </c>
      <c r="E137" s="113">
        <v>0</v>
      </c>
      <c r="F137" s="114">
        <f t="shared" si="38"/>
        <v>0</v>
      </c>
      <c r="G137" s="143" t="s">
        <v>100</v>
      </c>
      <c r="H137" s="106">
        <f t="shared" ca="1" si="39"/>
        <v>20</v>
      </c>
      <c r="I137" s="107" t="s">
        <v>135</v>
      </c>
      <c r="J137" s="107">
        <f t="shared" ca="1" si="36"/>
        <v>0</v>
      </c>
      <c r="K137" s="117" t="str">
        <f t="shared" si="35"/>
        <v>Obranyschopnost kura - rodičovské chovy</v>
      </c>
      <c r="L137" s="107" t="s">
        <v>262</v>
      </c>
      <c r="M137" s="107" t="str">
        <f t="shared" si="42"/>
        <v>Snižování používání antimikrobik_Obranyschopnost kura - rodičovské chovy</v>
      </c>
    </row>
    <row r="138" spans="1:14" x14ac:dyDescent="0.25">
      <c r="A138" s="105" t="s">
        <v>99</v>
      </c>
      <c r="B138" s="105" t="s">
        <v>263</v>
      </c>
      <c r="C138" s="112">
        <f ca="1">_xlfn.IFNA(IF(INDEX(INDIRECT(G138&amp;"!$D:$D"),MATCH(DB_PODPOR!$B138,INDIRECT(G138&amp;"!$H:$H"),0))="","–",INDEX(INDIRECT(G138&amp;"!$D:$D"),MATCH(DB_PODPOR!$B138,INDIRECT(G138&amp;"!$H:$H"),0))),0)</f>
        <v>0</v>
      </c>
      <c r="D138" s="113">
        <f>$E138*ROZCESTNIK!$I$3</f>
        <v>0</v>
      </c>
      <c r="E138" s="113">
        <v>0</v>
      </c>
      <c r="F138" s="114">
        <f t="shared" si="38"/>
        <v>0</v>
      </c>
      <c r="G138" s="143" t="s">
        <v>100</v>
      </c>
      <c r="H138" s="106">
        <f t="shared" ca="1" si="39"/>
        <v>20</v>
      </c>
      <c r="I138" s="107" t="s">
        <v>135</v>
      </c>
      <c r="J138" s="107">
        <f t="shared" ca="1" si="36"/>
        <v>0</v>
      </c>
      <c r="K138" s="117" t="str">
        <f t="shared" si="35"/>
        <v>Obranyschopnost - chovy výkrmu kuřat</v>
      </c>
      <c r="L138" s="107" t="s">
        <v>263</v>
      </c>
      <c r="M138" s="107" t="str">
        <f t="shared" si="42"/>
        <v>Snižování používání antimikrobik_Obranyschopnost - chovy výkrmu kuřat</v>
      </c>
    </row>
    <row r="139" spans="1:14" x14ac:dyDescent="0.25">
      <c r="A139" s="105" t="s">
        <v>99</v>
      </c>
      <c r="B139" s="105" t="s">
        <v>264</v>
      </c>
      <c r="C139" s="112">
        <f ca="1">_xlfn.IFNA(IF(INDEX(INDIRECT(G139&amp;"!$D:$D"),MATCH(DB_PODPOR!$B139,INDIRECT(G139&amp;"!$H:$H"),0))="","–",INDEX(INDIRECT(G139&amp;"!$D:$D"),MATCH(DB_PODPOR!$B139,INDIRECT(G139&amp;"!$H:$H"),0))),0)</f>
        <v>0</v>
      </c>
      <c r="D139" s="113">
        <f>$E139*ROZCESTNIK!$I$3</f>
        <v>0</v>
      </c>
      <c r="E139" s="113">
        <v>0</v>
      </c>
      <c r="F139" s="114">
        <f t="shared" si="38"/>
        <v>0</v>
      </c>
      <c r="G139" s="143" t="s">
        <v>100</v>
      </c>
      <c r="H139" s="106">
        <f t="shared" ca="1" si="39"/>
        <v>20</v>
      </c>
      <c r="I139" s="107" t="s">
        <v>135</v>
      </c>
      <c r="J139" s="107">
        <f t="shared" ca="1" si="36"/>
        <v>0</v>
      </c>
      <c r="K139" s="117" t="str">
        <f t="shared" si="35"/>
        <v>Obranyschopnost - chovy nosnic</v>
      </c>
      <c r="L139" s="107" t="s">
        <v>264</v>
      </c>
      <c r="M139" s="107" t="str">
        <f t="shared" si="42"/>
        <v>Snižování používání antimikrobik_Obranyschopnost - chovy nosnic</v>
      </c>
    </row>
    <row r="140" spans="1:14" x14ac:dyDescent="0.25">
      <c r="A140" s="105" t="s">
        <v>99</v>
      </c>
      <c r="B140" s="105" t="s">
        <v>265</v>
      </c>
      <c r="C140" s="112">
        <f ca="1">_xlfn.IFNA(IF(INDEX(INDIRECT(G140&amp;"!$D:$D"),MATCH(DB_PODPOR!$B140,INDIRECT(G140&amp;"!$H:$H"),0))="","–",INDEX(INDIRECT(G140&amp;"!$D:$D"),MATCH(DB_PODPOR!$B140,INDIRECT(G140&amp;"!$H:$H"),0))),0)</f>
        <v>0</v>
      </c>
      <c r="D140" s="113">
        <f>$E140*ROZCESTNIK!$I$3</f>
        <v>0</v>
      </c>
      <c r="E140" s="113">
        <v>0</v>
      </c>
      <c r="F140" s="114">
        <f t="shared" si="38"/>
        <v>0</v>
      </c>
      <c r="G140" s="143" t="s">
        <v>100</v>
      </c>
      <c r="H140" s="106">
        <f t="shared" ca="1" si="39"/>
        <v>20</v>
      </c>
      <c r="I140" s="107" t="s">
        <v>135</v>
      </c>
      <c r="J140" s="107">
        <f t="shared" ca="1" si="36"/>
        <v>0</v>
      </c>
      <c r="K140" s="117" t="str">
        <f t="shared" si="35"/>
        <v>Napájení telat dojeného skotu mlezivem</v>
      </c>
      <c r="L140" s="107" t="s">
        <v>265</v>
      </c>
      <c r="M140" s="107" t="str">
        <f t="shared" si="42"/>
        <v>Snižování používání antimikrobik_Napájení telat dojeného skotu mlezivem</v>
      </c>
    </row>
    <row r="141" spans="1:14" x14ac:dyDescent="0.25">
      <c r="A141" s="105" t="s">
        <v>102</v>
      </c>
      <c r="B141" s="105" t="s">
        <v>394</v>
      </c>
      <c r="C141" s="112">
        <f ca="1">_xlfn.IFNA(IF(INDEX(INDIRECT(G141&amp;"!$D:$D"),MATCH(DB_PODPOR!$B141,INDIRECT(G141&amp;"!$H:$H"),0))="","–",INDEX(INDIRECT(G141&amp;"!$D:$D"),MATCH(DB_PODPOR!$B141,INDIRECT(G141&amp;"!$H:$H"),0))),0)</f>
        <v>0</v>
      </c>
      <c r="D141" s="113">
        <f>$E141*ROZCESTNIK!$I$3</f>
        <v>102793.5</v>
      </c>
      <c r="E141" s="113">
        <v>3879</v>
      </c>
      <c r="F141" s="114">
        <f t="shared" si="38"/>
        <v>102793.5</v>
      </c>
      <c r="G141" s="142" t="s">
        <v>103</v>
      </c>
      <c r="H141" s="106">
        <f t="shared" ca="1" si="39"/>
        <v>21</v>
      </c>
      <c r="I141" s="107" t="s">
        <v>135</v>
      </c>
      <c r="J141" s="107">
        <f t="shared" ca="1" si="36"/>
        <v>0</v>
      </c>
      <c r="K141" s="117" t="str">
        <f t="shared" si="35"/>
        <v>Založení lesního porostu - jedle, borovice, buk, dub, lípa, douglaska</v>
      </c>
      <c r="M141" s="107" t="str">
        <f t="shared" si="42"/>
        <v>LESY - zalesňování zemědělské půdy_Založení lesního porostu - jedle, borovice, buk, dub, lípa, douglaska</v>
      </c>
      <c r="N141" s="107" t="str">
        <f t="shared" ref="N141:N148" si="43">_xlfn.CONCAT($A141,$B141)</f>
        <v>LESY - zalesňování zemědělské půdyZaložení lesního porostu - jedle, borovice, buk, dub, lípa, douglaska</v>
      </c>
    </row>
    <row r="142" spans="1:14" x14ac:dyDescent="0.25">
      <c r="A142" s="105" t="s">
        <v>102</v>
      </c>
      <c r="B142" s="105" t="s">
        <v>395</v>
      </c>
      <c r="C142" s="112">
        <f ca="1">_xlfn.IFNA(IF(INDEX(INDIRECT(G142&amp;"!$D:$D"),MATCH(DB_PODPOR!$B142,INDIRECT(G142&amp;"!$H:$H"),0))="","–",INDEX(INDIRECT(G142&amp;"!$D:$D"),MATCH(DB_PODPOR!$B142,INDIRECT(G142&amp;"!$H:$H"),0))),0)</f>
        <v>0</v>
      </c>
      <c r="D142" s="113">
        <f>$E142*ROZCESTNIK!$I$3</f>
        <v>77459.5</v>
      </c>
      <c r="E142" s="113">
        <v>2923</v>
      </c>
      <c r="F142" s="114">
        <f t="shared" si="38"/>
        <v>77459.5</v>
      </c>
      <c r="G142" s="142" t="s">
        <v>103</v>
      </c>
      <c r="H142" s="106">
        <f t="shared" ca="1" si="39"/>
        <v>21</v>
      </c>
      <c r="I142" s="107" t="s">
        <v>135</v>
      </c>
      <c r="J142" s="107">
        <f t="shared" ca="1" si="36"/>
        <v>0</v>
      </c>
      <c r="K142" s="117" t="str">
        <f t="shared" si="35"/>
        <v>Založení lesního porostu - ostatní dřeviny</v>
      </c>
      <c r="M142" s="107" t="str">
        <f t="shared" si="42"/>
        <v>LESY - zalesňování zemědělské půdy_Založení lesního porostu - ostatní dřeviny</v>
      </c>
      <c r="N142" s="107" t="str">
        <f t="shared" si="43"/>
        <v>LESY - zalesňování zemědělské půdyZaložení lesního porostu - ostatní dřeviny</v>
      </c>
    </row>
    <row r="143" spans="1:14" x14ac:dyDescent="0.25">
      <c r="A143" s="105" t="s">
        <v>102</v>
      </c>
      <c r="B143" s="105" t="s">
        <v>266</v>
      </c>
      <c r="C143" s="112">
        <f ca="1">_xlfn.IFNA(IF(INDEX(INDIRECT(G143&amp;"!$D:$D"),MATCH(DB_PODPOR!$B143,INDIRECT(G143&amp;"!$F:$F"),0))="","–",INDEX(INDIRECT(G143&amp;"!$D:$D"),MATCH(DB_PODPOR!$B143,INDIRECT(G143&amp;"!$F:$F"),0))),0)</f>
        <v>0</v>
      </c>
      <c r="D143" s="113">
        <f>$E143*ROZCESTNIK!$I$3</f>
        <v>17039.5</v>
      </c>
      <c r="E143" s="113">
        <v>643</v>
      </c>
      <c r="F143" s="114">
        <f t="shared" si="38"/>
        <v>17039.5</v>
      </c>
      <c r="G143" s="142" t="s">
        <v>103</v>
      </c>
      <c r="H143" s="106">
        <f t="shared" ref="H143:H151" ca="1" si="44">INDEX($AP$2:$AP$34,MATCH($A143,$AN$2:$AN$34,0))</f>
        <v>21</v>
      </c>
      <c r="I143" s="107" t="s">
        <v>135</v>
      </c>
      <c r="J143" s="107">
        <f t="shared" ca="1" si="36"/>
        <v>0</v>
      </c>
      <c r="K143" s="117" t="str">
        <f t="shared" si="35"/>
        <v>Péče o založený lesní porost</v>
      </c>
      <c r="L143" s="107" t="s">
        <v>266</v>
      </c>
      <c r="M143" s="107" t="str">
        <f t="shared" si="42"/>
        <v>LESY - zalesňování zemědělské půdy_Péče o založený lesní porost</v>
      </c>
      <c r="N143" s="107" t="str">
        <f t="shared" si="43"/>
        <v>LESY - zalesňování zemědělské půdyPéče o založený lesní porost</v>
      </c>
    </row>
    <row r="144" spans="1:14" x14ac:dyDescent="0.25">
      <c r="A144" s="105" t="s">
        <v>102</v>
      </c>
      <c r="B144" s="105" t="s">
        <v>396</v>
      </c>
      <c r="C144" s="112">
        <f ca="1">_xlfn.IFNA(IF(INDEX(INDIRECT(G144&amp;"!$D:$D"),MATCH(DB_PODPOR!$B144,INDIRECT(G144&amp;"!$F:$F"),0))="","–",INDEX(INDIRECT(G144&amp;"!$D:$D"),MATCH(DB_PODPOR!$B144,INDIRECT(G144&amp;"!$F:$F"),0))),0)</f>
        <v>0</v>
      </c>
      <c r="D144" s="113">
        <f>$E144*ROZCESTNIK!$I$3</f>
        <v>12163.5</v>
      </c>
      <c r="E144" s="113">
        <v>459</v>
      </c>
      <c r="F144" s="114">
        <f t="shared" si="38"/>
        <v>12163.5</v>
      </c>
      <c r="G144" s="142" t="s">
        <v>103</v>
      </c>
      <c r="H144" s="106">
        <f t="shared" ca="1" si="44"/>
        <v>21</v>
      </c>
      <c r="I144" s="107" t="s">
        <v>135</v>
      </c>
      <c r="J144" s="107">
        <f t="shared" ca="1" si="36"/>
        <v>0</v>
      </c>
      <c r="K144" s="117" t="str">
        <f t="shared" si="35"/>
        <v>Náhrada za ukončení zemědělské výroby - orná půda, chmelnice, vinice, ovocný sad, školka</v>
      </c>
      <c r="M144" s="107" t="str">
        <f t="shared" si="42"/>
        <v>LESY - zalesňování zemědělské půdy_Náhrada za ukončení zemědělské výroby - orná půda, chmelnice, vinice, ovocný sad, školka</v>
      </c>
      <c r="N144" s="107" t="str">
        <f t="shared" si="43"/>
        <v>LESY - zalesňování zemědělské půdyNáhrada za ukončení zemědělské výroby - orná půda, chmelnice, vinice, ovocný sad, školka</v>
      </c>
    </row>
    <row r="145" spans="1:14" x14ac:dyDescent="0.25">
      <c r="A145" s="105" t="s">
        <v>102</v>
      </c>
      <c r="B145" s="105" t="s">
        <v>397</v>
      </c>
      <c r="C145" s="112">
        <f ca="1">_xlfn.IFNA(IF(INDEX(INDIRECT(G145&amp;"!$D:$D"),MATCH(DB_PODPOR!$B145,INDIRECT(G145&amp;"!$F:$F"),0))="","–",INDEX(INDIRECT(G145&amp;"!$D:$D"),MATCH(DB_PODPOR!$B145,INDIRECT(G145&amp;"!$F:$F"),0))),0)</f>
        <v>0</v>
      </c>
      <c r="D145" s="113">
        <f>$E145*ROZCESTNIK!$I$3</f>
        <v>5035</v>
      </c>
      <c r="E145" s="113">
        <v>190</v>
      </c>
      <c r="F145" s="114">
        <f t="shared" si="38"/>
        <v>5035</v>
      </c>
      <c r="G145" s="142" t="s">
        <v>103</v>
      </c>
      <c r="H145" s="106">
        <f t="shared" ca="1" si="44"/>
        <v>21</v>
      </c>
      <c r="I145" s="107" t="s">
        <v>135</v>
      </c>
      <c r="J145" s="107">
        <f t="shared" ca="1" si="36"/>
        <v>0</v>
      </c>
      <c r="K145" s="117" t="str">
        <f t="shared" si="35"/>
        <v>Náhrada za ukončení zemědělské výroby - trvalý travní porost nebo jiná trvalá travní kultura</v>
      </c>
      <c r="M145" s="107" t="str">
        <f t="shared" si="42"/>
        <v>LESY - zalesňování zemědělské půdy_Náhrada za ukončení zemědělské výroby - trvalý travní porost nebo jiná trvalá travní kultura</v>
      </c>
      <c r="N145" s="107" t="str">
        <f t="shared" si="43"/>
        <v>LESY - zalesňování zemědělské půdyNáhrada za ukončení zemědělské výroby - trvalý travní porost nebo jiná trvalá travní kultura</v>
      </c>
    </row>
    <row r="146" spans="1:14" x14ac:dyDescent="0.25">
      <c r="A146" s="105" t="s">
        <v>466</v>
      </c>
      <c r="B146" s="105" t="s">
        <v>467</v>
      </c>
      <c r="C146" s="112">
        <f ca="1">_xlfn.IFNA(IF(INDEX(INDIRECT(G146&amp;"!$D:$D"),MATCH(DB_PODPOR!$B146,INDIRECT(G146&amp;"!$F:$F"),0))="","–",INDEX(INDIRECT(G146&amp;"!$D:$D"),MATCH(DB_PODPOR!$B146,INDIRECT(G146&amp;"!$F:$F"),0))),0)</f>
        <v>0</v>
      </c>
      <c r="D146" s="113">
        <f>$E146*ROZCESTNIK!$I$3</f>
        <v>115354.5</v>
      </c>
      <c r="E146" s="113">
        <v>4353</v>
      </c>
      <c r="F146" s="114">
        <f t="shared" si="38"/>
        <v>115354.5</v>
      </c>
      <c r="G146" s="142" t="s">
        <v>107</v>
      </c>
      <c r="H146" s="106">
        <f t="shared" ca="1" si="44"/>
        <v>22</v>
      </c>
      <c r="I146" s="107" t="s">
        <v>135</v>
      </c>
      <c r="J146" s="107">
        <f t="shared" ca="1" si="36"/>
        <v>0</v>
      </c>
      <c r="K146" s="117" t="str">
        <f t="shared" si="35"/>
        <v>Založení agrolesnického systému</v>
      </c>
      <c r="M146" s="107" t="str">
        <f t="shared" si="42"/>
        <v>Agrolesnictví_Založení agrolesnického systému</v>
      </c>
      <c r="N146" s="107" t="str">
        <f t="shared" si="43"/>
        <v>AgrolesnictvíZaložení agrolesnického systému</v>
      </c>
    </row>
    <row r="147" spans="1:14" x14ac:dyDescent="0.25">
      <c r="A147" s="105" t="s">
        <v>466</v>
      </c>
      <c r="B147" s="105" t="s">
        <v>392</v>
      </c>
      <c r="C147" s="112">
        <f ca="1">_xlfn.IFNA(IF(INDEX(INDIRECT(G147&amp;"!$D:$D"),MATCH(DB_PODPOR!$B147,INDIRECT(G147&amp;"!$F:$F"),0))="","–",INDEX(INDIRECT(G147&amp;"!$D:$D"),MATCH(DB_PODPOR!$B147,INDIRECT(G147&amp;"!$F:$F"),0))),0)</f>
        <v>0</v>
      </c>
      <c r="D147" s="113">
        <f>$E147*ROZCESTNIK!$I$3</f>
        <v>19981</v>
      </c>
      <c r="E147" s="113">
        <v>754</v>
      </c>
      <c r="F147" s="114">
        <f t="shared" si="38"/>
        <v>19981</v>
      </c>
      <c r="G147" s="142" t="s">
        <v>107</v>
      </c>
      <c r="H147" s="106">
        <f t="shared" ca="1" si="44"/>
        <v>22</v>
      </c>
      <c r="I147" s="107" t="s">
        <v>135</v>
      </c>
      <c r="J147" s="107">
        <f t="shared" ca="1" si="36"/>
        <v>0</v>
      </c>
      <c r="K147" s="117" t="str">
        <f>IF(L147="",B147,L147)</f>
        <v>Péče o založený porost</v>
      </c>
      <c r="M147" s="107" t="str">
        <f t="shared" si="42"/>
        <v>Agrolesnictví_Péče o založený porost</v>
      </c>
      <c r="N147" s="107" t="str">
        <f t="shared" si="43"/>
        <v>AgrolesnictvíPéče o založený porost</v>
      </c>
    </row>
    <row r="148" spans="1:14" x14ac:dyDescent="0.25">
      <c r="A148" s="105" t="s">
        <v>466</v>
      </c>
      <c r="B148" s="105" t="s">
        <v>267</v>
      </c>
      <c r="C148" s="112">
        <f ca="1">_xlfn.IFNA(IF(INDEX(INDIRECT(G148&amp;"!$D:$D"),MATCH(DB_PODPOR!$B148,INDIRECT(G148&amp;"!$F:$F"),0))="","–",INDEX(INDIRECT(G148&amp;"!$D:$D"),MATCH(DB_PODPOR!$B148,INDIRECT(G148&amp;"!$F:$F"),0))),0)</f>
        <v>0</v>
      </c>
      <c r="D148" s="113">
        <f>$E148*ROZCESTNIK!$I$3</f>
        <v>0</v>
      </c>
      <c r="E148" s="113">
        <v>0</v>
      </c>
      <c r="F148" s="114">
        <f t="shared" si="38"/>
        <v>0</v>
      </c>
      <c r="G148" s="142" t="s">
        <v>107</v>
      </c>
      <c r="H148" s="106">
        <f t="shared" ca="1" si="44"/>
        <v>22</v>
      </c>
      <c r="I148" s="107" t="s">
        <v>135</v>
      </c>
      <c r="J148" s="107">
        <f ca="1">IFERROR(C148*F148,0)</f>
        <v>0</v>
      </c>
      <c r="K148" s="117" t="str">
        <f>IF(L148="",B148,L148)</f>
        <v>Náhrada za ukončení zemědělské výroby</v>
      </c>
      <c r="L148" s="107" t="s">
        <v>268</v>
      </c>
      <c r="M148" s="107" t="str">
        <f t="shared" si="42"/>
        <v>Agrolesnictví_Náhrada za ukončení zeměď výroby</v>
      </c>
      <c r="N148" s="107" t="str">
        <f t="shared" si="43"/>
        <v>AgrolesnictvíNáhrada za ukončení zeměď výroby</v>
      </c>
    </row>
    <row r="149" spans="1:14" x14ac:dyDescent="0.25">
      <c r="A149" s="105" t="s">
        <v>110</v>
      </c>
      <c r="B149" s="105" t="s">
        <v>393</v>
      </c>
      <c r="C149" s="112">
        <f ca="1">_xlfn.IFNA(IF(INDEX(INDIRECT(G149&amp;"!$D:$D"),MATCH(DB_PODPOR!$B149,INDIRECT(G149&amp;"!$F:$F"),0))="","–",INDEX(INDIRECT(G149&amp;"!$D:$D"),MATCH(DB_PODPOR!$B149,INDIRECT(G149&amp;"!$F:$F"),0))),0)</f>
        <v>0</v>
      </c>
      <c r="D149" s="113">
        <f>$E149*ROZCESTNIK!$I$3</f>
        <v>1881.5</v>
      </c>
      <c r="E149" s="113">
        <v>71</v>
      </c>
      <c r="F149" s="114">
        <f t="shared" si="38"/>
        <v>1881.5</v>
      </c>
      <c r="G149" s="142" t="s">
        <v>111</v>
      </c>
      <c r="H149" s="106">
        <f t="shared" ca="1" si="44"/>
        <v>23</v>
      </c>
      <c r="I149" s="107" t="s">
        <v>135</v>
      </c>
      <c r="J149" s="107">
        <f ca="1">IFERROR(C149*F149,0)</f>
        <v>0</v>
      </c>
      <c r="K149" s="117" t="str">
        <f>IF(L149="",B149,L149)</f>
        <v>Podpora šetrného sběru a reprodukčního materiálu</v>
      </c>
      <c r="M149" s="107" t="str">
        <f t="shared" si="42"/>
        <v>LESY - envi-klima služby a ochrana lesů_Podpora šetrného sběru a reprodukčního materiálu</v>
      </c>
    </row>
    <row r="150" spans="1:14" x14ac:dyDescent="0.25">
      <c r="A150" s="105" t="s">
        <v>110</v>
      </c>
      <c r="B150" s="105" t="s">
        <v>269</v>
      </c>
      <c r="C150" s="112">
        <f ca="1">_xlfn.IFNA(IF(INDEX(INDIRECT(G150&amp;"!$D:$D"),MATCH(DB_PODPOR!$B150,INDIRECT(G150&amp;"!$F:$F"),0))="","–",INDEX(INDIRECT(G150&amp;"!$D:$D"),MATCH(DB_PODPOR!$B150,INDIRECT(G150&amp;"!$F:$F"),0))),0)</f>
        <v>0</v>
      </c>
      <c r="D150" s="113">
        <f>$E150*ROZCESTNIK!$I$3</f>
        <v>5167.5</v>
      </c>
      <c r="E150" s="113">
        <v>195</v>
      </c>
      <c r="F150" s="114">
        <f t="shared" si="38"/>
        <v>5167.5</v>
      </c>
      <c r="G150" s="142" t="s">
        <v>111</v>
      </c>
      <c r="H150" s="106">
        <f t="shared" ca="1" si="44"/>
        <v>23</v>
      </c>
      <c r="I150" s="107" t="s">
        <v>135</v>
      </c>
      <c r="J150" s="107">
        <f ca="1">IFERROR(C150*F150,0)</f>
        <v>0</v>
      </c>
      <c r="K150" s="117" t="str">
        <f>IF(L150="",B150,L150)</f>
        <v>Zachování porostního typu</v>
      </c>
      <c r="M150" s="107" t="str">
        <f t="shared" si="42"/>
        <v>LESY - envi-klima služby a ochrana lesů_Zachování porostního typu</v>
      </c>
    </row>
    <row r="151" spans="1:14" x14ac:dyDescent="0.25">
      <c r="A151" s="105" t="s">
        <v>110</v>
      </c>
      <c r="B151" s="105" t="s">
        <v>270</v>
      </c>
      <c r="C151" s="112">
        <f ca="1">_xlfn.IFNA(IF(INDEX(INDIRECT(G151&amp;"!$D:$D"),MATCH(DB_PODPOR!$B151,INDIRECT(G151&amp;"!$F:$F"),0))="","–",INDEX(INDIRECT(G151&amp;"!$D:$D"),MATCH(DB_PODPOR!$B151,INDIRECT(G151&amp;"!$F:$F"),0))),0)</f>
        <v>0</v>
      </c>
      <c r="D151" s="113">
        <f>$E151*ROZCESTNIK!$I$3</f>
        <v>3789.5</v>
      </c>
      <c r="E151" s="113">
        <v>143</v>
      </c>
      <c r="F151" s="114">
        <f t="shared" si="38"/>
        <v>3789.5</v>
      </c>
      <c r="G151" s="142" t="s">
        <v>111</v>
      </c>
      <c r="H151" s="106">
        <f t="shared" ca="1" si="44"/>
        <v>23</v>
      </c>
      <c r="I151" s="107" t="s">
        <v>135</v>
      </c>
      <c r="J151" s="107">
        <f ca="1">IFERROR(C151*F151,0)</f>
        <v>0</v>
      </c>
      <c r="K151" s="117" t="str">
        <f>IF(L151="",B151,L151)</f>
        <v>Zachování habitatových stromů</v>
      </c>
      <c r="M151" s="107" t="str">
        <f t="shared" si="42"/>
        <v>LESY - envi-klima služby a ochrana lesů_Zachování habitatových stromů</v>
      </c>
    </row>
    <row r="152" spans="1:14" x14ac:dyDescent="0.25">
      <c r="C152" s="144"/>
      <c r="D152" s="145"/>
      <c r="E152" s="145"/>
      <c r="F152" s="145"/>
    </row>
    <row r="153" spans="1:14" x14ac:dyDescent="0.25">
      <c r="C153" s="144"/>
      <c r="D153" s="145"/>
      <c r="E153" s="145"/>
      <c r="F153" s="145"/>
    </row>
    <row r="154" spans="1:14" x14ac:dyDescent="0.25">
      <c r="C154" s="144"/>
      <c r="F154" s="145"/>
      <c r="J154" s="145">
        <f ca="1">SUMPRODUCT(C2:C151,D2:D151)</f>
        <v>0</v>
      </c>
    </row>
    <row r="157" spans="1:14" x14ac:dyDescent="0.25">
      <c r="A157" s="129" t="s">
        <v>271</v>
      </c>
    </row>
    <row r="159" spans="1:14" x14ac:dyDescent="0.25">
      <c r="A159" s="129" t="s">
        <v>114</v>
      </c>
      <c r="B159" s="129" t="s">
        <v>219</v>
      </c>
      <c r="C159" s="107" t="e">
        <f ca="1">INDEX(INDIRECT(G159&amp;"!$C:$C"),MATCH(DB_PODPOR!$B159,INDIRECT(G159&amp;"!$B:$B"),0))</f>
        <v>#REF!</v>
      </c>
      <c r="D159" s="129">
        <v>8559.5</v>
      </c>
      <c r="H159" s="107" t="e">
        <f t="shared" ref="H159:H190" ca="1" si="45">_xlfn.SHEET(TEXT(G159,"#"))</f>
        <v>#N/A</v>
      </c>
    </row>
    <row r="160" spans="1:14" x14ac:dyDescent="0.25">
      <c r="A160" s="129" t="s">
        <v>114</v>
      </c>
      <c r="B160" s="129" t="s">
        <v>220</v>
      </c>
      <c r="C160" s="107" t="e">
        <f ca="1">INDEX(INDIRECT(G160&amp;"!$C:$C"),MATCH(DB_PODPOR!$B160,INDIRECT(G160&amp;"!$B:$B"),0))</f>
        <v>#REF!</v>
      </c>
      <c r="D160" s="129">
        <v>17887.5</v>
      </c>
      <c r="H160" s="107" t="e">
        <f t="shared" ca="1" si="45"/>
        <v>#N/A</v>
      </c>
    </row>
    <row r="161" spans="1:8" x14ac:dyDescent="0.25">
      <c r="A161" s="129" t="s">
        <v>114</v>
      </c>
      <c r="B161" s="129" t="s">
        <v>272</v>
      </c>
      <c r="C161" s="107" t="e">
        <f ca="1">INDEX(INDIRECT(G161&amp;"!$C:$C"),MATCH(DB_PODPOR!$B161,INDIRECT(G161&amp;"!$B:$B"),0))</f>
        <v>#REF!</v>
      </c>
      <c r="D161" s="129">
        <v>11289</v>
      </c>
      <c r="H161" s="107" t="e">
        <f t="shared" ca="1" si="45"/>
        <v>#N/A</v>
      </c>
    </row>
    <row r="162" spans="1:8" x14ac:dyDescent="0.25">
      <c r="A162" s="129" t="s">
        <v>114</v>
      </c>
      <c r="B162" s="129" t="s">
        <v>273</v>
      </c>
      <c r="C162" s="107" t="e">
        <f ca="1">INDEX(INDIRECT(G162&amp;"!$C:$C"),MATCH(DB_PODPOR!$B162,INDIRECT(G162&amp;"!$B:$B"),0))</f>
        <v>#REF!</v>
      </c>
      <c r="D162" s="129">
        <v>11289</v>
      </c>
      <c r="H162" s="107" t="e">
        <f t="shared" ca="1" si="45"/>
        <v>#N/A</v>
      </c>
    </row>
    <row r="163" spans="1:8" x14ac:dyDescent="0.25">
      <c r="A163" s="129" t="s">
        <v>114</v>
      </c>
      <c r="B163" s="129" t="s">
        <v>274</v>
      </c>
      <c r="C163" s="107" t="e">
        <f ca="1">INDEX(INDIRECT(G163&amp;"!$C:$C"),MATCH(DB_PODPOR!$B163,INDIRECT(G163&amp;"!$B:$B"),0))</f>
        <v>#REF!</v>
      </c>
      <c r="D163" s="129">
        <v>11474.5</v>
      </c>
      <c r="H163" s="107" t="e">
        <f t="shared" ca="1" si="45"/>
        <v>#N/A</v>
      </c>
    </row>
    <row r="164" spans="1:8" x14ac:dyDescent="0.25">
      <c r="A164" s="129" t="s">
        <v>117</v>
      </c>
      <c r="B164" s="129" t="s">
        <v>275</v>
      </c>
      <c r="C164" s="107" t="e">
        <f ca="1">INDEX(INDIRECT(G164&amp;"!$C:$C"),MATCH(DB_PODPOR!$B164,INDIRECT(G164&amp;"!$B:$B"),0))</f>
        <v>#REF!</v>
      </c>
      <c r="D164" s="129">
        <v>2544</v>
      </c>
      <c r="H164" s="107" t="e">
        <f t="shared" ca="1" si="45"/>
        <v>#N/A</v>
      </c>
    </row>
    <row r="165" spans="1:8" x14ac:dyDescent="0.25">
      <c r="A165" s="129" t="s">
        <v>117</v>
      </c>
      <c r="B165" s="129" t="s">
        <v>276</v>
      </c>
      <c r="C165" s="107" t="e">
        <f ca="1">INDEX(INDIRECT(G165&amp;"!$C:$C"),MATCH(DB_PODPOR!$B165,INDIRECT(G165&amp;"!$B:$B"),0))</f>
        <v>#REF!</v>
      </c>
      <c r="D165" s="129">
        <v>2835.5</v>
      </c>
      <c r="H165" s="107" t="e">
        <f t="shared" ca="1" si="45"/>
        <v>#N/A</v>
      </c>
    </row>
    <row r="166" spans="1:8" x14ac:dyDescent="0.25">
      <c r="A166" s="129" t="s">
        <v>117</v>
      </c>
      <c r="B166" s="129" t="s">
        <v>277</v>
      </c>
      <c r="C166" s="107" t="e">
        <f ca="1">INDEX(INDIRECT(G166&amp;"!$C:$C"),MATCH(DB_PODPOR!$B166,INDIRECT(G166&amp;"!$B:$B"),0))</f>
        <v>#REF!</v>
      </c>
      <c r="D166" s="129">
        <v>4399</v>
      </c>
      <c r="H166" s="107" t="e">
        <f t="shared" ca="1" si="45"/>
        <v>#N/A</v>
      </c>
    </row>
    <row r="167" spans="1:8" x14ac:dyDescent="0.25">
      <c r="A167" s="129" t="s">
        <v>117</v>
      </c>
      <c r="B167" s="129" t="s">
        <v>278</v>
      </c>
      <c r="C167" s="107" t="e">
        <f ca="1">INDEX(INDIRECT(G167&amp;"!$C:$C"),MATCH(DB_PODPOR!$B167,INDIRECT(G167&amp;"!$B:$B"),0))</f>
        <v>#REF!</v>
      </c>
      <c r="D167" s="129">
        <v>4690.5</v>
      </c>
      <c r="H167" s="107" t="e">
        <f t="shared" ca="1" si="45"/>
        <v>#N/A</v>
      </c>
    </row>
    <row r="168" spans="1:8" x14ac:dyDescent="0.25">
      <c r="A168" s="129" t="s">
        <v>117</v>
      </c>
      <c r="B168" s="129" t="s">
        <v>279</v>
      </c>
      <c r="C168" s="107" t="e">
        <f ca="1">INDEX(INDIRECT(G168&amp;"!$C:$C"),MATCH(DB_PODPOR!$B168,INDIRECT(G168&amp;"!$B:$B"),0))</f>
        <v>#REF!</v>
      </c>
      <c r="D168" s="129">
        <v>2570.5</v>
      </c>
      <c r="H168" s="107" t="e">
        <f t="shared" ca="1" si="45"/>
        <v>#N/A</v>
      </c>
    </row>
    <row r="169" spans="1:8" x14ac:dyDescent="0.25">
      <c r="A169" s="129" t="s">
        <v>117</v>
      </c>
      <c r="B169" s="129" t="s">
        <v>280</v>
      </c>
      <c r="C169" s="107" t="e">
        <f ca="1">INDEX(INDIRECT(G169&amp;"!$C:$C"),MATCH(DB_PODPOR!$B169,INDIRECT(G169&amp;"!$B:$B"),0))</f>
        <v>#REF!</v>
      </c>
      <c r="D169" s="129">
        <v>2120</v>
      </c>
      <c r="H169" s="107" t="e">
        <f t="shared" ca="1" si="45"/>
        <v>#N/A</v>
      </c>
    </row>
    <row r="170" spans="1:8" x14ac:dyDescent="0.25">
      <c r="A170" s="129" t="s">
        <v>117</v>
      </c>
      <c r="B170" s="129" t="s">
        <v>281</v>
      </c>
      <c r="C170" s="107" t="e">
        <f ca="1">INDEX(INDIRECT(G170&amp;"!$C:$C"),MATCH(DB_PODPOR!$B170,INDIRECT(G170&amp;"!$B:$B"),0))</f>
        <v>#REF!</v>
      </c>
      <c r="D170" s="129">
        <v>4902.5</v>
      </c>
      <c r="H170" s="107" t="e">
        <f t="shared" ca="1" si="45"/>
        <v>#N/A</v>
      </c>
    </row>
    <row r="171" spans="1:8" x14ac:dyDescent="0.25">
      <c r="A171" s="129" t="s">
        <v>117</v>
      </c>
      <c r="B171" s="129" t="s">
        <v>282</v>
      </c>
      <c r="C171" s="107" t="e">
        <f ca="1">INDEX(INDIRECT(G171&amp;"!$C:$C"),MATCH(DB_PODPOR!$B171,INDIRECT(G171&amp;"!$B:$B"),0))</f>
        <v>#REF!</v>
      </c>
      <c r="D171" s="129">
        <v>5035</v>
      </c>
      <c r="H171" s="107" t="e">
        <f t="shared" ca="1" si="45"/>
        <v>#N/A</v>
      </c>
    </row>
    <row r="172" spans="1:8" x14ac:dyDescent="0.25">
      <c r="A172" s="129" t="s">
        <v>117</v>
      </c>
      <c r="B172" s="129" t="s">
        <v>283</v>
      </c>
      <c r="C172" s="107" t="e">
        <f ca="1">INDEX(INDIRECT(G172&amp;"!$C:$C"),MATCH(DB_PODPOR!$B172,INDIRECT(G172&amp;"!$B:$B"),0))</f>
        <v>#REF!</v>
      </c>
      <c r="D172" s="129">
        <v>3657</v>
      </c>
      <c r="H172" s="107" t="e">
        <f t="shared" ca="1" si="45"/>
        <v>#N/A</v>
      </c>
    </row>
    <row r="173" spans="1:8" x14ac:dyDescent="0.25">
      <c r="A173" s="129" t="s">
        <v>117</v>
      </c>
      <c r="B173" s="129" t="s">
        <v>284</v>
      </c>
      <c r="C173" s="107" t="e">
        <f ca="1">INDEX(INDIRECT(G173&amp;"!$C:$C"),MATCH(DB_PODPOR!$B173,INDIRECT(G173&amp;"!$B:$B"),0))</f>
        <v>#REF!</v>
      </c>
      <c r="D173" s="129">
        <v>4319.5</v>
      </c>
      <c r="H173" s="107" t="e">
        <f t="shared" ca="1" si="45"/>
        <v>#N/A</v>
      </c>
    </row>
    <row r="174" spans="1:8" x14ac:dyDescent="0.25">
      <c r="A174" s="129" t="s">
        <v>117</v>
      </c>
      <c r="B174" s="129" t="s">
        <v>285</v>
      </c>
      <c r="C174" s="107" t="e">
        <f ca="1">INDEX(INDIRECT(G174&amp;"!$C:$C"),MATCH(DB_PODPOR!$B174,INDIRECT(G174&amp;"!$B:$B"),0))</f>
        <v>#REF!</v>
      </c>
      <c r="D174" s="129">
        <v>4611</v>
      </c>
      <c r="H174" s="107" t="e">
        <f t="shared" ca="1" si="45"/>
        <v>#N/A</v>
      </c>
    </row>
    <row r="175" spans="1:8" x14ac:dyDescent="0.25">
      <c r="A175" s="129" t="s">
        <v>117</v>
      </c>
      <c r="B175" s="129" t="s">
        <v>286</v>
      </c>
      <c r="C175" s="107" t="e">
        <f ca="1">INDEX(INDIRECT(G175&amp;"!$C:$C"),MATCH(DB_PODPOR!$B175,INDIRECT(G175&amp;"!$B:$B"),0))</f>
        <v>#REF!</v>
      </c>
      <c r="D175" s="129">
        <v>3074</v>
      </c>
      <c r="H175" s="107" t="e">
        <f t="shared" ca="1" si="45"/>
        <v>#N/A</v>
      </c>
    </row>
    <row r="176" spans="1:8" x14ac:dyDescent="0.25">
      <c r="A176" s="129" t="s">
        <v>117</v>
      </c>
      <c r="B176" s="129" t="s">
        <v>287</v>
      </c>
      <c r="C176" s="107" t="e">
        <f ca="1">INDEX(INDIRECT(G176&amp;"!$C:$C"),MATCH(DB_PODPOR!$B176,INDIRECT(G176&amp;"!$B:$B"),0))</f>
        <v>#REF!</v>
      </c>
      <c r="D176" s="129">
        <v>4505</v>
      </c>
      <c r="H176" s="107" t="e">
        <f t="shared" ca="1" si="45"/>
        <v>#N/A</v>
      </c>
    </row>
    <row r="177" spans="1:8" x14ac:dyDescent="0.25">
      <c r="A177" s="129" t="s">
        <v>117</v>
      </c>
      <c r="B177" s="129" t="s">
        <v>288</v>
      </c>
      <c r="C177" s="107" t="e">
        <f ca="1">INDEX(INDIRECT(G177&amp;"!$C:$C"),MATCH(DB_PODPOR!$B177,INDIRECT(G177&amp;"!$B:$B"),0))</f>
        <v>#REF!</v>
      </c>
      <c r="D177" s="129">
        <v>4637.5</v>
      </c>
      <c r="H177" s="107" t="e">
        <f t="shared" ca="1" si="45"/>
        <v>#N/A</v>
      </c>
    </row>
    <row r="178" spans="1:8" x14ac:dyDescent="0.25">
      <c r="A178" s="129" t="s">
        <v>117</v>
      </c>
      <c r="B178" s="129" t="s">
        <v>289</v>
      </c>
      <c r="C178" s="107" t="e">
        <f ca="1">INDEX(INDIRECT(G178&amp;"!$C:$C"),MATCH(DB_PODPOR!$B178,INDIRECT(G178&amp;"!$B:$B"),0))</f>
        <v>#REF!</v>
      </c>
      <c r="D178" s="129">
        <v>3471.5</v>
      </c>
      <c r="H178" s="107" t="e">
        <f t="shared" ca="1" si="45"/>
        <v>#N/A</v>
      </c>
    </row>
    <row r="179" spans="1:8" x14ac:dyDescent="0.25">
      <c r="A179" s="129" t="s">
        <v>117</v>
      </c>
      <c r="B179" s="129" t="s">
        <v>290</v>
      </c>
      <c r="C179" s="107" t="e">
        <f ca="1">INDEX(INDIRECT(G179&amp;"!$C:$C"),MATCH(DB_PODPOR!$B179,INDIRECT(G179&amp;"!$B:$B"),0))</f>
        <v>#REF!</v>
      </c>
      <c r="D179" s="129">
        <v>2226</v>
      </c>
      <c r="H179" s="107" t="e">
        <f t="shared" ca="1" si="45"/>
        <v>#N/A</v>
      </c>
    </row>
    <row r="180" spans="1:8" x14ac:dyDescent="0.25">
      <c r="A180" s="129" t="s">
        <v>117</v>
      </c>
      <c r="B180" s="129" t="s">
        <v>208</v>
      </c>
      <c r="C180" s="107" t="e">
        <f ca="1">INDEX(INDIRECT(G180&amp;"!$C:$C"),MATCH(DB_PODPOR!$B180,INDIRECT(G180&amp;"!$B:$B"),0))</f>
        <v>#REF!</v>
      </c>
      <c r="D180" s="129">
        <v>18338</v>
      </c>
      <c r="H180" s="107" t="e">
        <f t="shared" ca="1" si="45"/>
        <v>#N/A</v>
      </c>
    </row>
    <row r="181" spans="1:8" x14ac:dyDescent="0.25">
      <c r="A181" s="129" t="s">
        <v>117</v>
      </c>
      <c r="B181" s="129" t="s">
        <v>291</v>
      </c>
      <c r="C181" s="107" t="e">
        <f ca="1">INDEX(INDIRECT(G181&amp;"!$C:$C"),MATCH(DB_PODPOR!$B181,INDIRECT(G181&amp;"!$B:$B"),0))</f>
        <v>#REF!</v>
      </c>
      <c r="D181" s="129">
        <v>16854</v>
      </c>
      <c r="H181" s="107" t="e">
        <f t="shared" ca="1" si="45"/>
        <v>#N/A</v>
      </c>
    </row>
    <row r="182" spans="1:8" x14ac:dyDescent="0.25">
      <c r="A182" s="129" t="s">
        <v>117</v>
      </c>
      <c r="B182" s="129" t="s">
        <v>292</v>
      </c>
      <c r="C182" s="107" t="e">
        <f ca="1">INDEX(INDIRECT(G182&amp;"!$C:$C"),MATCH(DB_PODPOR!$B182,INDIRECT(G182&amp;"!$B:$B"),0))</f>
        <v>#REF!</v>
      </c>
      <c r="D182" s="129">
        <v>4584.5</v>
      </c>
      <c r="H182" s="107" t="e">
        <f t="shared" ca="1" si="45"/>
        <v>#N/A</v>
      </c>
    </row>
    <row r="183" spans="1:8" x14ac:dyDescent="0.25">
      <c r="A183" s="129" t="s">
        <v>117</v>
      </c>
      <c r="B183" s="129" t="s">
        <v>293</v>
      </c>
      <c r="C183" s="107" t="e">
        <f ca="1">INDEX(INDIRECT(G183&amp;"!$C:$C"),MATCH(DB_PODPOR!$B183,INDIRECT(G183&amp;"!$B:$B"),0))</f>
        <v>#REF!</v>
      </c>
      <c r="D183" s="129">
        <v>3498</v>
      </c>
      <c r="H183" s="107" t="e">
        <f t="shared" ca="1" si="45"/>
        <v>#N/A</v>
      </c>
    </row>
    <row r="184" spans="1:8" x14ac:dyDescent="0.25">
      <c r="A184" s="129" t="s">
        <v>117</v>
      </c>
      <c r="B184" s="129" t="s">
        <v>294</v>
      </c>
      <c r="C184" s="107" t="e">
        <f ca="1">INDEX(INDIRECT(G184&amp;"!$C:$C"),MATCH(DB_PODPOR!$B184,INDIRECT(G184&amp;"!$B:$B"),0))</f>
        <v>#REF!</v>
      </c>
      <c r="D184" s="129">
        <v>2305.5</v>
      </c>
      <c r="H184" s="107" t="e">
        <f t="shared" ca="1" si="45"/>
        <v>#N/A</v>
      </c>
    </row>
    <row r="185" spans="1:8" x14ac:dyDescent="0.25">
      <c r="A185" s="129" t="s">
        <v>117</v>
      </c>
      <c r="B185" s="129" t="s">
        <v>295</v>
      </c>
      <c r="C185" s="107" t="e">
        <f ca="1">INDEX(INDIRECT(G185&amp;"!$C:$C"),MATCH(DB_PODPOR!$B185,INDIRECT(G185&amp;"!$B:$B"),0))</f>
        <v>#REF!</v>
      </c>
      <c r="D185" s="129">
        <v>5247</v>
      </c>
      <c r="H185" s="107" t="e">
        <f t="shared" ca="1" si="45"/>
        <v>#N/A</v>
      </c>
    </row>
    <row r="186" spans="1:8" x14ac:dyDescent="0.25">
      <c r="A186" s="129" t="s">
        <v>117</v>
      </c>
      <c r="B186" s="129" t="s">
        <v>296</v>
      </c>
      <c r="C186" s="107" t="e">
        <f ca="1">INDEX(INDIRECT(G186&amp;"!$C:$C"),MATCH(DB_PODPOR!$B186,INDIRECT(G186&amp;"!$B:$B"),0))</f>
        <v>#REF!</v>
      </c>
      <c r="D186" s="129">
        <v>4187</v>
      </c>
      <c r="H186" s="107" t="e">
        <f t="shared" ca="1" si="45"/>
        <v>#N/A</v>
      </c>
    </row>
    <row r="187" spans="1:8" x14ac:dyDescent="0.25">
      <c r="A187" s="129" t="s">
        <v>117</v>
      </c>
      <c r="B187" s="129" t="s">
        <v>297</v>
      </c>
      <c r="C187" s="107" t="e">
        <f ca="1">INDEX(INDIRECT(G187&amp;"!$C:$C"),MATCH(DB_PODPOR!$B187,INDIRECT(G187&amp;"!$B:$B"),0))</f>
        <v>#REF!</v>
      </c>
      <c r="D187" s="129">
        <v>2968</v>
      </c>
      <c r="H187" s="107" t="e">
        <f t="shared" ca="1" si="45"/>
        <v>#N/A</v>
      </c>
    </row>
    <row r="188" spans="1:8" x14ac:dyDescent="0.25">
      <c r="A188" s="129" t="s">
        <v>117</v>
      </c>
      <c r="B188" s="129" t="s">
        <v>211</v>
      </c>
      <c r="C188" s="107" t="e">
        <f ca="1">INDEX(INDIRECT(G188&amp;"!$C:$C"),MATCH(DB_PODPOR!$B188,INDIRECT(G188&amp;"!$B:$B"),0))</f>
        <v>#REF!</v>
      </c>
      <c r="D188" s="129">
        <v>9354.5</v>
      </c>
      <c r="H188" s="107" t="e">
        <f t="shared" ca="1" si="45"/>
        <v>#N/A</v>
      </c>
    </row>
    <row r="189" spans="1:8" x14ac:dyDescent="0.25">
      <c r="A189" s="129" t="s">
        <v>117</v>
      </c>
      <c r="B189" s="129" t="s">
        <v>213</v>
      </c>
      <c r="C189" s="107" t="e">
        <f ca="1">INDEX(INDIRECT(G189&amp;"!$C:$C"),MATCH(DB_PODPOR!$B189,INDIRECT(G189&amp;"!$B:$B"),0))</f>
        <v>#REF!</v>
      </c>
      <c r="D189" s="129">
        <v>5644.5</v>
      </c>
      <c r="H189" s="107" t="e">
        <f t="shared" ca="1" si="45"/>
        <v>#N/A</v>
      </c>
    </row>
    <row r="190" spans="1:8" x14ac:dyDescent="0.25">
      <c r="A190" s="129" t="s">
        <v>117</v>
      </c>
      <c r="B190" s="129" t="s">
        <v>298</v>
      </c>
      <c r="C190" s="107" t="e">
        <f ca="1">INDEX(INDIRECT(G190&amp;"!$C:$C"),MATCH(DB_PODPOR!$B190,INDIRECT(G190&amp;"!$B:$B"),0))</f>
        <v>#REF!</v>
      </c>
      <c r="D190" s="129">
        <v>4372.5</v>
      </c>
      <c r="H190" s="107" t="e">
        <f t="shared" ca="1" si="45"/>
        <v>#N/A</v>
      </c>
    </row>
    <row r="191" spans="1:8" x14ac:dyDescent="0.25">
      <c r="A191" s="129" t="s">
        <v>117</v>
      </c>
      <c r="B191" s="129" t="s">
        <v>299</v>
      </c>
      <c r="C191" s="107" t="e">
        <f ca="1">INDEX(INDIRECT(G191&amp;"!$C:$C"),MATCH(DB_PODPOR!$B191,INDIRECT(G191&amp;"!$B:$B"),0))</f>
        <v>#REF!</v>
      </c>
      <c r="D191" s="129">
        <v>3365.5</v>
      </c>
      <c r="H191" s="107" t="e">
        <f t="shared" ref="H191:H222" ca="1" si="46">_xlfn.SHEET(TEXT(G191,"#"))</f>
        <v>#N/A</v>
      </c>
    </row>
    <row r="192" spans="1:8" x14ac:dyDescent="0.25">
      <c r="A192" s="129" t="s">
        <v>120</v>
      </c>
      <c r="B192" s="129" t="s">
        <v>179</v>
      </c>
      <c r="C192" s="107" t="e">
        <f ca="1">INDEX(INDIRECT(G192&amp;"!$C:$C"),MATCH(DB_PODPOR!$B192,INDIRECT(G192&amp;"!$B:$B"),0))</f>
        <v>#REF!</v>
      </c>
      <c r="D192" s="129">
        <v>8215</v>
      </c>
      <c r="H192" s="107" t="e">
        <f t="shared" ca="1" si="46"/>
        <v>#N/A</v>
      </c>
    </row>
    <row r="193" spans="1:8" x14ac:dyDescent="0.25">
      <c r="A193" s="129" t="s">
        <v>120</v>
      </c>
      <c r="B193" s="129" t="s">
        <v>182</v>
      </c>
      <c r="C193" s="107" t="e">
        <f ca="1">INDEX(INDIRECT(G193&amp;"!$C:$C"),MATCH(DB_PODPOR!$B193,INDIRECT(G193&amp;"!$B:$B"),0))</f>
        <v>#REF!</v>
      </c>
      <c r="D193" s="129">
        <v>9169</v>
      </c>
      <c r="H193" s="107" t="e">
        <f t="shared" ca="1" si="46"/>
        <v>#N/A</v>
      </c>
    </row>
    <row r="194" spans="1:8" x14ac:dyDescent="0.25">
      <c r="A194" s="129" t="s">
        <v>120</v>
      </c>
      <c r="B194" s="129" t="s">
        <v>300</v>
      </c>
      <c r="C194" s="107" t="e">
        <f ca="1">INDEX(INDIRECT(G194&amp;"!$C:$C"),MATCH(DB_PODPOR!$B194,INDIRECT(G194&amp;"!$B:$B"),0))</f>
        <v>#REF!</v>
      </c>
      <c r="D194" s="129">
        <v>10600</v>
      </c>
      <c r="H194" s="107" t="e">
        <f t="shared" ca="1" si="46"/>
        <v>#N/A</v>
      </c>
    </row>
    <row r="195" spans="1:8" x14ac:dyDescent="0.25">
      <c r="A195" s="129" t="s">
        <v>120</v>
      </c>
      <c r="B195" s="129" t="s">
        <v>301</v>
      </c>
      <c r="C195" s="107" t="e">
        <f ca="1">INDEX(INDIRECT(G195&amp;"!$C:$C"),MATCH(DB_PODPOR!$B195,INDIRECT(G195&amp;"!$B:$B"),0))</f>
        <v>#REF!</v>
      </c>
      <c r="D195" s="129">
        <v>5936</v>
      </c>
      <c r="H195" s="107" t="e">
        <f t="shared" ca="1" si="46"/>
        <v>#N/A</v>
      </c>
    </row>
    <row r="196" spans="1:8" x14ac:dyDescent="0.25">
      <c r="A196" s="129" t="s">
        <v>120</v>
      </c>
      <c r="B196" s="129" t="s">
        <v>302</v>
      </c>
      <c r="C196" s="107" t="e">
        <f ca="1">INDEX(INDIRECT(G196&amp;"!$C:$C"),MATCH(DB_PODPOR!$B196,INDIRECT(G196&amp;"!$B:$B"),0))</f>
        <v>#REF!</v>
      </c>
      <c r="D196" s="129">
        <v>6890</v>
      </c>
      <c r="H196" s="107" t="e">
        <f t="shared" ca="1" si="46"/>
        <v>#N/A</v>
      </c>
    </row>
    <row r="197" spans="1:8" x14ac:dyDescent="0.25">
      <c r="A197" s="129" t="s">
        <v>120</v>
      </c>
      <c r="B197" s="129" t="s">
        <v>303</v>
      </c>
      <c r="C197" s="107" t="e">
        <f ca="1">INDEX(INDIRECT(G197&amp;"!$C:$C"),MATCH(DB_PODPOR!$B197,INDIRECT(G197&amp;"!$B:$B"),0))</f>
        <v>#REF!</v>
      </c>
      <c r="D197" s="129">
        <v>8321</v>
      </c>
      <c r="H197" s="107" t="e">
        <f t="shared" ca="1" si="46"/>
        <v>#N/A</v>
      </c>
    </row>
    <row r="198" spans="1:8" x14ac:dyDescent="0.25">
      <c r="A198" s="129" t="s">
        <v>120</v>
      </c>
      <c r="B198" s="129" t="s">
        <v>304</v>
      </c>
      <c r="C198" s="107" t="e">
        <f ca="1">INDEX(INDIRECT(G198&amp;"!$C:$C"),MATCH(DB_PODPOR!$B198,INDIRECT(G198&amp;"!$B:$B"),0))</f>
        <v>#REF!</v>
      </c>
      <c r="D198" s="129">
        <v>8930.5</v>
      </c>
      <c r="H198" s="107" t="e">
        <f t="shared" ca="1" si="46"/>
        <v>#N/A</v>
      </c>
    </row>
    <row r="199" spans="1:8" x14ac:dyDescent="0.25">
      <c r="A199" s="129" t="s">
        <v>120</v>
      </c>
      <c r="B199" s="129" t="s">
        <v>305</v>
      </c>
      <c r="C199" s="107" t="e">
        <f ca="1">INDEX(INDIRECT(G199&amp;"!$C:$C"),MATCH(DB_PODPOR!$B199,INDIRECT(G199&amp;"!$B:$B"),0))</f>
        <v>#REF!</v>
      </c>
      <c r="D199" s="129">
        <v>10202.5</v>
      </c>
      <c r="H199" s="107" t="e">
        <f t="shared" ca="1" si="46"/>
        <v>#N/A</v>
      </c>
    </row>
    <row r="200" spans="1:8" x14ac:dyDescent="0.25">
      <c r="A200" s="129" t="s">
        <v>120</v>
      </c>
      <c r="B200" s="129" t="s">
        <v>306</v>
      </c>
      <c r="C200" s="107" t="e">
        <f ca="1">INDEX(INDIRECT(G200&amp;"!$C:$C"),MATCH(DB_PODPOR!$B200,INDIRECT(G200&amp;"!$B:$B"),0))</f>
        <v>#REF!</v>
      </c>
      <c r="D200" s="129">
        <v>11342</v>
      </c>
      <c r="H200" s="107" t="e">
        <f t="shared" ca="1" si="46"/>
        <v>#N/A</v>
      </c>
    </row>
    <row r="201" spans="1:8" x14ac:dyDescent="0.25">
      <c r="A201" s="129" t="s">
        <v>120</v>
      </c>
      <c r="B201" s="129" t="s">
        <v>307</v>
      </c>
      <c r="C201" s="107" t="e">
        <f ca="1">INDEX(INDIRECT(G201&amp;"!$C:$C"),MATCH(DB_PODPOR!$B201,INDIRECT(G201&amp;"!$B:$B"),0))</f>
        <v>#REF!</v>
      </c>
      <c r="D201" s="129">
        <v>6651.5</v>
      </c>
      <c r="H201" s="107" t="e">
        <f t="shared" ca="1" si="46"/>
        <v>#N/A</v>
      </c>
    </row>
    <row r="202" spans="1:8" x14ac:dyDescent="0.25">
      <c r="A202" s="129" t="s">
        <v>120</v>
      </c>
      <c r="B202" s="129" t="s">
        <v>308</v>
      </c>
      <c r="C202" s="107" t="e">
        <f ca="1">INDEX(INDIRECT(G202&amp;"!$C:$C"),MATCH(DB_PODPOR!$B202,INDIRECT(G202&amp;"!$B:$B"),0))</f>
        <v>#REF!</v>
      </c>
      <c r="D202" s="129">
        <v>7923.5</v>
      </c>
      <c r="H202" s="107" t="e">
        <f t="shared" ca="1" si="46"/>
        <v>#N/A</v>
      </c>
    </row>
    <row r="203" spans="1:8" x14ac:dyDescent="0.25">
      <c r="A203" s="129" t="s">
        <v>120</v>
      </c>
      <c r="B203" s="129" t="s">
        <v>309</v>
      </c>
      <c r="C203" s="107" t="e">
        <f ca="1">INDEX(INDIRECT(G203&amp;"!$C:$C"),MATCH(DB_PODPOR!$B203,INDIRECT(G203&amp;"!$B:$B"),0))</f>
        <v>#REF!</v>
      </c>
      <c r="D203" s="129">
        <v>9063</v>
      </c>
      <c r="H203" s="107" t="e">
        <f t="shared" ca="1" si="46"/>
        <v>#N/A</v>
      </c>
    </row>
    <row r="204" spans="1:8" x14ac:dyDescent="0.25">
      <c r="A204" s="129" t="s">
        <v>124</v>
      </c>
      <c r="B204" s="129" t="s">
        <v>310</v>
      </c>
      <c r="C204" s="107" t="e">
        <f ca="1">INDEX(INDIRECT(G204&amp;"!$C:$C"),MATCH(DB_PODPOR!$B204,INDIRECT(G204&amp;"!$B:$B"),0))</f>
        <v>#REF!</v>
      </c>
      <c r="D204" s="129">
        <v>14840</v>
      </c>
      <c r="H204" s="107" t="e">
        <f t="shared" ca="1" si="46"/>
        <v>#N/A</v>
      </c>
    </row>
    <row r="205" spans="1:8" x14ac:dyDescent="0.25">
      <c r="A205" s="129" t="s">
        <v>124</v>
      </c>
      <c r="B205" s="129" t="s">
        <v>311</v>
      </c>
      <c r="C205" s="107" t="e">
        <f ca="1">INDEX(INDIRECT(G205&amp;"!$C:$C"),MATCH(DB_PODPOR!$B205,INDIRECT(G205&amp;"!$B:$B"),0))</f>
        <v>#REF!</v>
      </c>
      <c r="D205" s="129">
        <v>12561</v>
      </c>
      <c r="H205" s="107" t="e">
        <f t="shared" ca="1" si="46"/>
        <v>#N/A</v>
      </c>
    </row>
    <row r="206" spans="1:8" x14ac:dyDescent="0.25">
      <c r="A206" s="129" t="s">
        <v>129</v>
      </c>
      <c r="B206" s="129" t="s">
        <v>312</v>
      </c>
      <c r="C206" s="107" t="e">
        <f ca="1">INDEX(INDIRECT(G206&amp;"!$C:$C"),MATCH(DB_PODPOR!$B206,INDIRECT(G206&amp;"!$B:$B"),0))</f>
        <v>#REF!</v>
      </c>
      <c r="D206" s="129">
        <v>17755</v>
      </c>
      <c r="H206" s="107" t="e">
        <f t="shared" ca="1" si="46"/>
        <v>#N/A</v>
      </c>
    </row>
    <row r="207" spans="1:8" x14ac:dyDescent="0.25">
      <c r="A207" s="129" t="s">
        <v>129</v>
      </c>
      <c r="B207" s="129" t="s">
        <v>313</v>
      </c>
      <c r="C207" s="107" t="e">
        <f ca="1">INDEX(INDIRECT(G207&amp;"!$C:$C"),MATCH(DB_PODPOR!$B207,INDIRECT(G207&amp;"!$B:$B"),0))</f>
        <v>#REF!</v>
      </c>
      <c r="D207" s="129">
        <v>15661.5</v>
      </c>
      <c r="H207" s="107" t="e">
        <f t="shared" ca="1" si="46"/>
        <v>#N/A</v>
      </c>
    </row>
    <row r="208" spans="1:8" x14ac:dyDescent="0.25">
      <c r="A208" s="129" t="s">
        <v>133</v>
      </c>
      <c r="C208" s="107" t="e">
        <f ca="1">INDEX(INDIRECT(G208&amp;"!$C:$C"),MATCH(DB_PODPOR!$B208,INDIRECT(G208&amp;"!$B:$B"),0))</f>
        <v>#REF!</v>
      </c>
      <c r="D208" s="129">
        <v>17675.5</v>
      </c>
      <c r="H208" s="107" t="e">
        <f t="shared" ca="1" si="46"/>
        <v>#N/A</v>
      </c>
    </row>
    <row r="209" spans="1:8" x14ac:dyDescent="0.25">
      <c r="A209" s="129" t="s">
        <v>138</v>
      </c>
      <c r="B209" s="129" t="s">
        <v>314</v>
      </c>
      <c r="C209" s="107" t="e">
        <f ca="1">INDEX(INDIRECT(G209&amp;"!$C:$C"),MATCH(DB_PODPOR!$B209,INDIRECT(G209&amp;"!$B:$B"),0))</f>
        <v>#REF!</v>
      </c>
      <c r="D209" s="129">
        <v>2199.5</v>
      </c>
      <c r="H209" s="107" t="e">
        <f t="shared" ca="1" si="46"/>
        <v>#N/A</v>
      </c>
    </row>
    <row r="210" spans="1:8" x14ac:dyDescent="0.25">
      <c r="A210" s="129" t="s">
        <v>138</v>
      </c>
      <c r="B210" s="129" t="s">
        <v>315</v>
      </c>
      <c r="C210" s="107" t="e">
        <f ca="1">INDEX(INDIRECT(G210&amp;"!$C:$C"),MATCH(DB_PODPOR!$B210,INDIRECT(G210&amp;"!$B:$B"),0))</f>
        <v>#REF!</v>
      </c>
      <c r="D210" s="129">
        <v>2226</v>
      </c>
      <c r="H210" s="107" t="e">
        <f t="shared" ca="1" si="46"/>
        <v>#N/A</v>
      </c>
    </row>
    <row r="211" spans="1:8" x14ac:dyDescent="0.25">
      <c r="A211" s="129" t="s">
        <v>138</v>
      </c>
      <c r="B211" s="129" t="s">
        <v>316</v>
      </c>
      <c r="C211" s="107" t="e">
        <f ca="1">INDEX(INDIRECT(G211&amp;"!$C:$C"),MATCH(DB_PODPOR!$B211,INDIRECT(G211&amp;"!$B:$B"),0))</f>
        <v>#REF!</v>
      </c>
      <c r="D211" s="129">
        <v>1351.5</v>
      </c>
      <c r="H211" s="107" t="e">
        <f t="shared" ca="1" si="46"/>
        <v>#N/A</v>
      </c>
    </row>
    <row r="212" spans="1:8" x14ac:dyDescent="0.25">
      <c r="A212" s="129" t="s">
        <v>138</v>
      </c>
      <c r="B212" s="129" t="s">
        <v>317</v>
      </c>
      <c r="C212" s="107" t="e">
        <f ca="1">INDEX(INDIRECT(G212&amp;"!$C:$C"),MATCH(DB_PODPOR!$B212,INDIRECT(G212&amp;"!$B:$B"),0))</f>
        <v>#REF!</v>
      </c>
      <c r="D212" s="129">
        <v>1378</v>
      </c>
      <c r="H212" s="107" t="e">
        <f t="shared" ca="1" si="46"/>
        <v>#N/A</v>
      </c>
    </row>
    <row r="213" spans="1:8" x14ac:dyDescent="0.25">
      <c r="A213" s="129" t="s">
        <v>138</v>
      </c>
      <c r="B213" s="129" t="s">
        <v>318</v>
      </c>
      <c r="C213" s="107" t="e">
        <f ca="1">INDEX(INDIRECT(G213&amp;"!$C:$C"),MATCH(DB_PODPOR!$B213,INDIRECT(G213&amp;"!$B:$B"),0))</f>
        <v>#REF!</v>
      </c>
      <c r="D213" s="129">
        <v>4770</v>
      </c>
      <c r="H213" s="107" t="e">
        <f t="shared" ca="1" si="46"/>
        <v>#N/A</v>
      </c>
    </row>
    <row r="214" spans="1:8" x14ac:dyDescent="0.25">
      <c r="A214" s="129" t="s">
        <v>138</v>
      </c>
      <c r="B214" s="129" t="s">
        <v>319</v>
      </c>
      <c r="C214" s="107" t="e">
        <f ca="1">INDEX(INDIRECT(G214&amp;"!$C:$C"),MATCH(DB_PODPOR!$B214,INDIRECT(G214&amp;"!$B:$B"),0))</f>
        <v>#REF!</v>
      </c>
      <c r="D214" s="129">
        <v>6492.5</v>
      </c>
      <c r="H214" s="107" t="e">
        <f t="shared" ca="1" si="46"/>
        <v>#N/A</v>
      </c>
    </row>
    <row r="215" spans="1:8" x14ac:dyDescent="0.25">
      <c r="A215" s="129" t="s">
        <v>138</v>
      </c>
      <c r="B215" s="129" t="s">
        <v>320</v>
      </c>
      <c r="C215" s="107" t="e">
        <f ca="1">INDEX(INDIRECT(G215&amp;"!$C:$C"),MATCH(DB_PODPOR!$B215,INDIRECT(G215&amp;"!$B:$B"),0))</f>
        <v>#REF!</v>
      </c>
      <c r="D215" s="129">
        <v>4770</v>
      </c>
      <c r="H215" s="107" t="e">
        <f t="shared" ca="1" si="46"/>
        <v>#N/A</v>
      </c>
    </row>
    <row r="216" spans="1:8" x14ac:dyDescent="0.25">
      <c r="A216" s="129" t="s">
        <v>138</v>
      </c>
      <c r="B216" s="129" t="s">
        <v>321</v>
      </c>
      <c r="C216" s="107" t="e">
        <f ca="1">INDEX(INDIRECT(G216&amp;"!$C:$C"),MATCH(DB_PODPOR!$B216,INDIRECT(G216&amp;"!$B:$B"),0))</f>
        <v>#REF!</v>
      </c>
      <c r="D216" s="129">
        <v>7022.5</v>
      </c>
      <c r="H216" s="107" t="e">
        <f t="shared" ca="1" si="46"/>
        <v>#N/A</v>
      </c>
    </row>
    <row r="217" spans="1:8" x14ac:dyDescent="0.25">
      <c r="A217" s="129" t="s">
        <v>138</v>
      </c>
      <c r="B217" s="129" t="s">
        <v>322</v>
      </c>
      <c r="C217" s="107" t="e">
        <f ca="1">INDEX(INDIRECT(G217&amp;"!$C:$C"),MATCH(DB_PODPOR!$B217,INDIRECT(G217&amp;"!$B:$B"),0))</f>
        <v>#REF!</v>
      </c>
      <c r="D217" s="129">
        <v>1828.5</v>
      </c>
      <c r="H217" s="107" t="e">
        <f t="shared" ca="1" si="46"/>
        <v>#N/A</v>
      </c>
    </row>
    <row r="218" spans="1:8" x14ac:dyDescent="0.25">
      <c r="A218" s="129" t="s">
        <v>138</v>
      </c>
      <c r="B218" s="129" t="s">
        <v>323</v>
      </c>
      <c r="C218" s="107" t="e">
        <f ca="1">INDEX(INDIRECT(G218&amp;"!$C:$C"),MATCH(DB_PODPOR!$B218,INDIRECT(G218&amp;"!$B:$B"),0))</f>
        <v>#REF!</v>
      </c>
      <c r="D218" s="129">
        <v>2093.5</v>
      </c>
      <c r="H218" s="107" t="e">
        <f t="shared" ca="1" si="46"/>
        <v>#N/A</v>
      </c>
    </row>
    <row r="219" spans="1:8" x14ac:dyDescent="0.25">
      <c r="A219" s="129" t="s">
        <v>138</v>
      </c>
      <c r="B219" s="129" t="s">
        <v>324</v>
      </c>
      <c r="C219" s="107" t="e">
        <f ca="1">INDEX(INDIRECT(G219&amp;"!$C:$C"),MATCH(DB_PODPOR!$B219,INDIRECT(G219&amp;"!$B:$B"),0))</f>
        <v>#REF!</v>
      </c>
      <c r="D219" s="129">
        <v>768.5</v>
      </c>
      <c r="H219" s="107" t="e">
        <f t="shared" ca="1" si="46"/>
        <v>#N/A</v>
      </c>
    </row>
    <row r="220" spans="1:8" x14ac:dyDescent="0.25">
      <c r="A220" s="129" t="s">
        <v>138</v>
      </c>
      <c r="B220" s="129" t="s">
        <v>325</v>
      </c>
      <c r="C220" s="107" t="e">
        <f ca="1">INDEX(INDIRECT(G220&amp;"!$C:$C"),MATCH(DB_PODPOR!$B220,INDIRECT(G220&amp;"!$B:$B"),0))</f>
        <v>#REF!</v>
      </c>
      <c r="D220" s="129">
        <v>901</v>
      </c>
      <c r="H220" s="107" t="e">
        <f t="shared" ca="1" si="46"/>
        <v>#N/A</v>
      </c>
    </row>
    <row r="221" spans="1:8" x14ac:dyDescent="0.25">
      <c r="A221" s="129" t="s">
        <v>138</v>
      </c>
      <c r="B221" s="129" t="s">
        <v>326</v>
      </c>
      <c r="C221" s="107" t="e">
        <f ca="1">INDEX(INDIRECT(G221&amp;"!$C:$C"),MATCH(DB_PODPOR!$B221,INDIRECT(G221&amp;"!$B:$B"),0))</f>
        <v>#REF!</v>
      </c>
      <c r="D221" s="129">
        <v>15449.5</v>
      </c>
      <c r="H221" s="107" t="e">
        <f t="shared" ca="1" si="46"/>
        <v>#N/A</v>
      </c>
    </row>
    <row r="222" spans="1:8" x14ac:dyDescent="0.25">
      <c r="A222" s="129" t="s">
        <v>138</v>
      </c>
      <c r="B222" s="129" t="s">
        <v>327</v>
      </c>
      <c r="C222" s="107" t="e">
        <f ca="1">INDEX(INDIRECT(G222&amp;"!$C:$C"),MATCH(DB_PODPOR!$B222,INDIRECT(G222&amp;"!$B:$B"),0))</f>
        <v>#REF!</v>
      </c>
      <c r="D222" s="129">
        <v>17728.5</v>
      </c>
      <c r="H222" s="107" t="e">
        <f t="shared" ca="1" si="46"/>
        <v>#N/A</v>
      </c>
    </row>
    <row r="223" spans="1:8" x14ac:dyDescent="0.25">
      <c r="A223" s="129" t="s">
        <v>138</v>
      </c>
      <c r="B223" s="129" t="s">
        <v>328</v>
      </c>
      <c r="C223" s="107" t="e">
        <f ca="1">INDEX(INDIRECT(G223&amp;"!$C:$C"),MATCH(DB_PODPOR!$B223,INDIRECT(G223&amp;"!$B:$B"),0))</f>
        <v>#REF!</v>
      </c>
      <c r="D223" s="129">
        <v>20643.5</v>
      </c>
      <c r="H223" s="107" t="e">
        <f t="shared" ref="H223:H239" ca="1" si="47">_xlfn.SHEET(TEXT(G223,"#"))</f>
        <v>#N/A</v>
      </c>
    </row>
    <row r="224" spans="1:8" x14ac:dyDescent="0.25">
      <c r="A224" s="129" t="s">
        <v>138</v>
      </c>
      <c r="B224" s="129" t="s">
        <v>329</v>
      </c>
      <c r="C224" s="107" t="e">
        <f ca="1">INDEX(INDIRECT(G224&amp;"!$C:$C"),MATCH(DB_PODPOR!$B224,INDIRECT(G224&amp;"!$B:$B"),0))</f>
        <v>#REF!</v>
      </c>
      <c r="D224" s="129">
        <v>21862.5</v>
      </c>
      <c r="H224" s="107" t="e">
        <f t="shared" ca="1" si="47"/>
        <v>#N/A</v>
      </c>
    </row>
    <row r="225" spans="1:8" x14ac:dyDescent="0.25">
      <c r="A225" s="129" t="s">
        <v>138</v>
      </c>
      <c r="B225" s="129" t="s">
        <v>330</v>
      </c>
      <c r="C225" s="107" t="e">
        <f ca="1">INDEX(INDIRECT(G225&amp;"!$C:$C"),MATCH(DB_PODPOR!$B225,INDIRECT(G225&amp;"!$B:$B"),0))</f>
        <v>#REF!</v>
      </c>
      <c r="D225" s="129">
        <v>11050.5</v>
      </c>
      <c r="H225" s="107" t="e">
        <f t="shared" ca="1" si="47"/>
        <v>#N/A</v>
      </c>
    </row>
    <row r="226" spans="1:8" x14ac:dyDescent="0.25">
      <c r="A226" s="129" t="s">
        <v>138</v>
      </c>
      <c r="B226" s="129" t="s">
        <v>331</v>
      </c>
      <c r="C226" s="107" t="e">
        <f ca="1">INDEX(INDIRECT(G226&amp;"!$C:$C"),MATCH(DB_PODPOR!$B226,INDIRECT(G226&amp;"!$B:$B"),0))</f>
        <v>#REF!</v>
      </c>
      <c r="D226" s="129">
        <v>11103.5</v>
      </c>
      <c r="H226" s="107" t="e">
        <f t="shared" ca="1" si="47"/>
        <v>#N/A</v>
      </c>
    </row>
    <row r="227" spans="1:8" x14ac:dyDescent="0.25">
      <c r="A227" s="129" t="s">
        <v>138</v>
      </c>
      <c r="B227" s="129" t="s">
        <v>332</v>
      </c>
      <c r="C227" s="107" t="e">
        <f ca="1">INDEX(INDIRECT(G227&amp;"!$C:$C"),MATCH(DB_PODPOR!$B227,INDIRECT(G227&amp;"!$B:$B"),0))</f>
        <v>#REF!</v>
      </c>
      <c r="D227" s="129">
        <v>4372.5</v>
      </c>
      <c r="H227" s="107" t="e">
        <f t="shared" ca="1" si="47"/>
        <v>#N/A</v>
      </c>
    </row>
    <row r="228" spans="1:8" x14ac:dyDescent="0.25">
      <c r="A228" s="129" t="s">
        <v>138</v>
      </c>
      <c r="B228" s="129" t="s">
        <v>333</v>
      </c>
      <c r="C228" s="107" t="e">
        <f ca="1">INDEX(INDIRECT(G228&amp;"!$C:$C"),MATCH(DB_PODPOR!$B228,INDIRECT(G228&amp;"!$B:$B"),0))</f>
        <v>#REF!</v>
      </c>
      <c r="D228" s="129">
        <v>4372.5</v>
      </c>
      <c r="H228" s="107" t="e">
        <f t="shared" ca="1" si="47"/>
        <v>#N/A</v>
      </c>
    </row>
    <row r="229" spans="1:8" x14ac:dyDescent="0.25">
      <c r="A229" s="129" t="s">
        <v>138</v>
      </c>
      <c r="B229" s="129" t="s">
        <v>334</v>
      </c>
      <c r="C229" s="107" t="e">
        <f ca="1">INDEX(INDIRECT(G229&amp;"!$C:$C"),MATCH(DB_PODPOR!$B229,INDIRECT(G229&amp;"!$B:$B"),0))</f>
        <v>#REF!</v>
      </c>
      <c r="D229" s="129">
        <v>22392.5</v>
      </c>
      <c r="H229" s="107" t="e">
        <f t="shared" ca="1" si="47"/>
        <v>#N/A</v>
      </c>
    </row>
    <row r="230" spans="1:8" x14ac:dyDescent="0.25">
      <c r="A230" s="129" t="s">
        <v>138</v>
      </c>
      <c r="B230" s="129" t="s">
        <v>335</v>
      </c>
      <c r="C230" s="107" t="e">
        <f ca="1">INDEX(INDIRECT(G230&amp;"!$C:$C"),MATCH(DB_PODPOR!$B230,INDIRECT(G230&amp;"!$B:$B"),0))</f>
        <v>#REF!</v>
      </c>
      <c r="D230" s="129">
        <v>23850</v>
      </c>
      <c r="H230" s="107" t="e">
        <f t="shared" ca="1" si="47"/>
        <v>#N/A</v>
      </c>
    </row>
    <row r="231" spans="1:8" x14ac:dyDescent="0.25">
      <c r="A231" s="129" t="s">
        <v>138</v>
      </c>
      <c r="B231" s="129" t="s">
        <v>336</v>
      </c>
      <c r="C231" s="107" t="e">
        <f ca="1">INDEX(INDIRECT(G231&amp;"!$C:$C"),MATCH(DB_PODPOR!$B231,INDIRECT(G231&amp;"!$B:$B"),0))</f>
        <v>#REF!</v>
      </c>
      <c r="D231" s="129">
        <v>12349</v>
      </c>
      <c r="H231" s="107" t="e">
        <f t="shared" ca="1" si="47"/>
        <v>#N/A</v>
      </c>
    </row>
    <row r="232" spans="1:8" x14ac:dyDescent="0.25">
      <c r="A232" s="129" t="s">
        <v>138</v>
      </c>
      <c r="B232" s="129" t="s">
        <v>337</v>
      </c>
      <c r="C232" s="107" t="e">
        <f ca="1">INDEX(INDIRECT(G232&amp;"!$C:$C"),MATCH(DB_PODPOR!$B232,INDIRECT(G232&amp;"!$B:$B"),0))</f>
        <v>#REF!</v>
      </c>
      <c r="D232" s="129">
        <v>14204</v>
      </c>
      <c r="H232" s="107" t="e">
        <f t="shared" ca="1" si="47"/>
        <v>#N/A</v>
      </c>
    </row>
    <row r="233" spans="1:8" x14ac:dyDescent="0.25">
      <c r="A233" s="129" t="s">
        <v>141</v>
      </c>
      <c r="B233" s="129" t="s">
        <v>338</v>
      </c>
      <c r="C233" s="107" t="e">
        <f ca="1">INDEX(INDIRECT(G233&amp;"!$C:$C"),MATCH(DB_PODPOR!$B233,INDIRECT(G233&amp;"!$B:$B"),0))</f>
        <v>#REF!</v>
      </c>
      <c r="D233" s="129">
        <v>10534.529411764704</v>
      </c>
      <c r="H233" s="107" t="e">
        <f t="shared" ca="1" si="47"/>
        <v>#N/A</v>
      </c>
    </row>
    <row r="234" spans="1:8" x14ac:dyDescent="0.25">
      <c r="A234" s="129" t="s">
        <v>141</v>
      </c>
      <c r="B234" s="129" t="s">
        <v>339</v>
      </c>
      <c r="C234" s="107" t="e">
        <f ca="1">INDEX(INDIRECT(G234&amp;"!$C:$C"),MATCH(DB_PODPOR!$B234,INDIRECT(G234&amp;"!$B:$B"),0))</f>
        <v>#REF!</v>
      </c>
      <c r="D234" s="129">
        <v>7023.0196078431363</v>
      </c>
      <c r="H234" s="107" t="e">
        <f t="shared" ca="1" si="47"/>
        <v>#N/A</v>
      </c>
    </row>
    <row r="235" spans="1:8" x14ac:dyDescent="0.25">
      <c r="A235" s="129" t="s">
        <v>141</v>
      </c>
      <c r="B235" s="129" t="s">
        <v>340</v>
      </c>
      <c r="C235" s="107" t="e">
        <f ca="1">INDEX(INDIRECT(G235&amp;"!$C:$C"),MATCH(DB_PODPOR!$B235,INDIRECT(G235&amp;"!$B:$B"),0))</f>
        <v>#REF!</v>
      </c>
      <c r="D235" s="129">
        <v>5498.4901960784318</v>
      </c>
      <c r="H235" s="107" t="e">
        <f t="shared" ca="1" si="47"/>
        <v>#N/A</v>
      </c>
    </row>
    <row r="236" spans="1:8" x14ac:dyDescent="0.25">
      <c r="A236" s="129" t="s">
        <v>141</v>
      </c>
      <c r="B236" s="129" t="s">
        <v>341</v>
      </c>
      <c r="C236" s="107" t="e">
        <f ca="1">INDEX(INDIRECT(G236&amp;"!$C:$C"),MATCH(DB_PODPOR!$B236,INDIRECT(G236&amp;"!$B:$B"),0))</f>
        <v>#REF!</v>
      </c>
      <c r="D236" s="129">
        <v>5947</v>
      </c>
      <c r="H236" s="107" t="e">
        <f t="shared" ca="1" si="47"/>
        <v>#N/A</v>
      </c>
    </row>
    <row r="237" spans="1:8" x14ac:dyDescent="0.25">
      <c r="A237" s="129" t="s">
        <v>144</v>
      </c>
      <c r="B237" s="129" t="s">
        <v>342</v>
      </c>
      <c r="C237" s="107" t="e">
        <f ca="1">INDEX(INDIRECT(G237&amp;"!$C:$C"),MATCH(DB_PODPOR!$B237,INDIRECT(G237&amp;"!$B:$B"),0))</f>
        <v>#REF!</v>
      </c>
      <c r="D237" s="129">
        <v>4849.5</v>
      </c>
      <c r="H237" s="107" t="e">
        <f t="shared" ca="1" si="47"/>
        <v>#N/A</v>
      </c>
    </row>
    <row r="238" spans="1:8" x14ac:dyDescent="0.25">
      <c r="A238" s="129" t="s">
        <v>144</v>
      </c>
      <c r="B238" s="129" t="s">
        <v>343</v>
      </c>
      <c r="C238" s="107" t="e">
        <f ca="1">INDEX(INDIRECT(G238&amp;"!$C:$C"),MATCH(DB_PODPOR!$B238,INDIRECT(G238&amp;"!$B:$B"),0))</f>
        <v>#REF!</v>
      </c>
      <c r="D238" s="129">
        <v>1961</v>
      </c>
      <c r="H238" s="107" t="e">
        <f t="shared" ca="1" si="47"/>
        <v>#N/A</v>
      </c>
    </row>
    <row r="239" spans="1:8" x14ac:dyDescent="0.25">
      <c r="A239" s="129" t="s">
        <v>144</v>
      </c>
      <c r="B239" s="129" t="s">
        <v>344</v>
      </c>
      <c r="C239" s="107" t="e">
        <f ca="1">INDEX(INDIRECT(G239&amp;"!$C:$C"),MATCH(DB_PODPOR!$B239,INDIRECT(G239&amp;"!$B:$B"),0))</f>
        <v>#REF!</v>
      </c>
      <c r="D239" s="129">
        <v>2438</v>
      </c>
      <c r="H239" s="107" t="e">
        <f t="shared" ca="1" si="47"/>
        <v>#N/A</v>
      </c>
    </row>
  </sheetData>
  <sheetProtection algorithmName="SHA-512" hashValue="6IL1/ErVEdr6FKOPgaQEK3u8ND2yIt6KhUcFOYMj5kHPXN3SGlh4p498BcvSRM8bwxiQUb2EOUjVZGc4DolXjw==" saltValue="DN/bpv3RwcAM75+czso5Qw==" spinCount="100000" sheet="1" objects="1" scenarios="1" selectLockedCells="1"/>
  <mergeCells count="2">
    <mergeCell ref="AF1:AH1"/>
    <mergeCell ref="AF5:AH5"/>
  </mergeCells>
  <phoneticPr fontId="2" type="noConversion"/>
  <conditionalFormatting sqref="AF5 AF6:AH6 AF1 AF2:AH4">
    <cfRule type="expression" dxfId="40" priority="2">
      <formula>CELL("zámek",AF1)=0</formula>
    </cfRule>
  </conditionalFormatting>
  <dataValidations count="2">
    <dataValidation type="list" allowBlank="1" showInputMessage="1" showErrorMessage="1" sqref="AL2:AL7" xr:uid="{920A8144-168C-49E6-B0AF-A7A3AC60006B}">
      <formula1>"1,0"</formula1>
    </dataValidation>
    <dataValidation type="list" allowBlank="1" showInputMessage="1" showErrorMessage="1" sqref="Z20" xr:uid="{744EACE8-8B68-4608-A72E-39A3A7CF0491}">
      <formula1>"ZV,RV"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57080-4456-4776-877E-2E84BB58E5DF}">
  <sheetPr codeName="List2"/>
  <dimension ref="B1:H8"/>
  <sheetViews>
    <sheetView zoomScaleNormal="100" workbookViewId="0">
      <selection activeCell="D5" sqref="D5"/>
    </sheetView>
  </sheetViews>
  <sheetFormatPr defaultRowHeight="15" x14ac:dyDescent="0.25"/>
  <cols>
    <col min="1" max="1" width="1.7109375" style="1" customWidth="1"/>
    <col min="2" max="3" width="30.7109375" style="1" customWidth="1"/>
    <col min="4" max="6" width="16.7109375" style="1" customWidth="1"/>
    <col min="7" max="7" width="1.7109375" style="1" customWidth="1"/>
    <col min="8" max="8" width="16.7109375" style="1" customWidth="1"/>
    <col min="9" max="16384" width="9.140625" style="1"/>
  </cols>
  <sheetData>
    <row r="1" spans="2:8" ht="8.1" customHeight="1" x14ac:dyDescent="0.25"/>
    <row r="2" spans="2:8" x14ac:dyDescent="0.25">
      <c r="B2" s="53" t="s">
        <v>345</v>
      </c>
    </row>
    <row r="3" spans="2:8" ht="8.1" customHeight="1" x14ac:dyDescent="0.25"/>
    <row r="4" spans="2:8" ht="30" customHeight="1" x14ac:dyDescent="0.25">
      <c r="B4" s="13" t="s">
        <v>0</v>
      </c>
      <c r="C4" s="13" t="s">
        <v>1</v>
      </c>
      <c r="D4" s="19" t="s">
        <v>346</v>
      </c>
      <c r="E4" s="13" t="s">
        <v>23</v>
      </c>
      <c r="F4" s="13" t="s">
        <v>401</v>
      </c>
      <c r="H4" s="13" t="s">
        <v>347</v>
      </c>
    </row>
    <row r="5" spans="2:8" x14ac:dyDescent="0.25">
      <c r="B5" s="2" t="s">
        <v>33</v>
      </c>
      <c r="C5" s="2" t="str">
        <f>INDEX(DB_PODPOR!$K$2,MATCH(SAPS!$G5,DB_PODPOR!$B$2,0))</f>
        <v>Základní platba</v>
      </c>
      <c r="D5" s="51">
        <v>0</v>
      </c>
      <c r="E5" s="3">
        <f>IF(ROZCESTNIK!$F$3="EUR",INDEX(DB_PODPOR!$E:$E,MATCH($G5,DB_PODPOR!$B:$B,0)),INDEX(DB_PODPOR!$D:$D,MATCH(SAPS!$G5,DB_PODPOR!$B:$B,0)))</f>
        <v>71.985317128995604</v>
      </c>
      <c r="F5" s="35" t="str">
        <f>ROZCESTNIK!$F$3</f>
        <v>EUR</v>
      </c>
      <c r="G5" s="4" t="s">
        <v>34</v>
      </c>
      <c r="H5" s="3" t="str">
        <f>IF(MS!$J$5="ne",IF($D$5&gt;0,$D$5*$E$5,"–"),"–")</f>
        <v>–</v>
      </c>
    </row>
    <row r="6" spans="2:8" x14ac:dyDescent="0.25">
      <c r="E6" s="6"/>
      <c r="F6" s="6"/>
    </row>
    <row r="7" spans="2:8" x14ac:dyDescent="0.25">
      <c r="E7" s="11"/>
      <c r="F7" s="11"/>
    </row>
    <row r="8" spans="2:8" x14ac:dyDescent="0.25">
      <c r="E8" s="6"/>
      <c r="F8" s="6"/>
    </row>
  </sheetData>
  <sheetProtection algorithmName="SHA-512" hashValue="HupHqA9VZE7G0roe94BV4r7R40kOTyiXmyIQeMvgfHyz0mt5M9LX21rpQW9OarV9YPLN3wax0CLrseB7kUl0rA==" saltValue="Nb4lORiOa5DMXmLl69ktqQ==" spinCount="100000" sheet="1" objects="1" scenarios="1" selectLockedCells="1"/>
  <conditionalFormatting sqref="D4">
    <cfRule type="expression" dxfId="39" priority="2">
      <formula>$D5=0</formula>
    </cfRule>
  </conditionalFormatting>
  <conditionalFormatting sqref="D5">
    <cfRule type="expression" dxfId="38" priority="1">
      <formula>$D5=0</formula>
    </cfRule>
  </conditionalFormatting>
  <dataValidations count="1">
    <dataValidation type="decimal" operator="greaterThanOrEqual" allowBlank="1" showErrorMessage="1" promptTitle="Chybné zadání" prompt="Je nutné zadat číselnou hodnotu." sqref="D5" xr:uid="{84542332-1C18-4286-B961-A322BC2BD71D}">
      <formula1>0</formula1>
    </dataValidation>
  </dataValidations>
  <hyperlinks>
    <hyperlink ref="B2" location="ROZCESTNIK!B5" display="← Zpět na úvodní stranu" xr:uid="{ED43A0EA-674A-4449-9F94-12B122914C53}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F4F16-DCCB-46F2-A39E-1DE749F1E50A}">
  <sheetPr codeName="List3"/>
  <dimension ref="B1:H8"/>
  <sheetViews>
    <sheetView workbookViewId="0">
      <selection activeCell="B2" sqref="B2"/>
    </sheetView>
  </sheetViews>
  <sheetFormatPr defaultRowHeight="15" x14ac:dyDescent="0.25"/>
  <cols>
    <col min="1" max="1" width="1.7109375" style="1" customWidth="1"/>
    <col min="2" max="3" width="30.7109375" style="1" customWidth="1"/>
    <col min="4" max="6" width="16.7109375" style="1" customWidth="1"/>
    <col min="7" max="7" width="1.7109375" style="4" customWidth="1"/>
    <col min="8" max="8" width="16.7109375" style="1" customWidth="1"/>
    <col min="9" max="16384" width="9.140625" style="1"/>
  </cols>
  <sheetData>
    <row r="1" spans="2:8" ht="8.1" customHeight="1" x14ac:dyDescent="0.25"/>
    <row r="2" spans="2:8" x14ac:dyDescent="0.25">
      <c r="B2" s="53" t="s">
        <v>345</v>
      </c>
    </row>
    <row r="3" spans="2:8" ht="8.1" customHeight="1" x14ac:dyDescent="0.25"/>
    <row r="4" spans="2:8" ht="30" customHeight="1" x14ac:dyDescent="0.25">
      <c r="B4" s="13" t="s">
        <v>0</v>
      </c>
      <c r="C4" s="13" t="s">
        <v>1</v>
      </c>
      <c r="D4" s="13" t="s">
        <v>346</v>
      </c>
      <c r="E4" s="13" t="s">
        <v>23</v>
      </c>
      <c r="F4" s="13" t="s">
        <v>401</v>
      </c>
      <c r="H4" s="13" t="s">
        <v>347</v>
      </c>
    </row>
    <row r="5" spans="2:8" x14ac:dyDescent="0.25">
      <c r="B5" s="2" t="s">
        <v>7</v>
      </c>
      <c r="C5" s="2" t="str">
        <f>INDEX(DB_PODPOR!$K$31:$K$33,MATCH(RP!$G5,DB_PODPOR!$B$31:$B$33,0))</f>
        <v>Redistributivní platba</v>
      </c>
      <c r="D5" s="31">
        <f>IF(SAPS!$D$5&gt;150,150,SAPS!$D$5)</f>
        <v>0</v>
      </c>
      <c r="E5" s="3">
        <f>IF(ROZCESTNIK!$F$3="EUR",INDEX(DB_PODPOR!$E:$E,MATCH($G5,DB_PODPOR!$B:$B,0)),INDEX(DB_PODPOR!$D:$D,MATCH(RP!$G5,DB_PODPOR!$B:$B,0)))</f>
        <v>152.49870857814878</v>
      </c>
      <c r="F5" s="36" t="str">
        <f>ROZCESTNIK!$F$3</f>
        <v>EUR</v>
      </c>
      <c r="G5" s="4" t="s">
        <v>121</v>
      </c>
      <c r="H5" s="3" t="str">
        <f>IF(MS!$J$5="ne",IF($D5&gt;0,$D5*$E5,"–"),"–")</f>
        <v>–</v>
      </c>
    </row>
    <row r="6" spans="2:8" x14ac:dyDescent="0.25">
      <c r="B6" s="24"/>
      <c r="C6" s="24"/>
      <c r="D6" s="25"/>
      <c r="E6" s="26"/>
      <c r="F6" s="20"/>
      <c r="G6" s="27"/>
      <c r="H6" s="25"/>
    </row>
    <row r="7" spans="2:8" x14ac:dyDescent="0.25">
      <c r="B7" s="28"/>
      <c r="C7" s="28"/>
      <c r="D7" s="29"/>
      <c r="E7" s="20"/>
      <c r="F7" s="20"/>
      <c r="G7" s="27"/>
      <c r="H7" s="29"/>
    </row>
    <row r="8" spans="2:8" x14ac:dyDescent="0.25">
      <c r="B8" s="23" t="s">
        <v>7</v>
      </c>
    </row>
  </sheetData>
  <sheetProtection algorithmName="SHA-512" hashValue="uvUbyPlVFSlvNnT/C9jIC2t/VhL4BDcpFiE1Ie11a0t4Le+oDbuJS9ZVx1WeagyvlKCiZnaqisjS5ZxRpu37/A==" saltValue="TtMduzwDpBauUjhoA4w4mQ==" spinCount="100000" sheet="1" objects="1" scenarios="1" selectLockedCells="1"/>
  <phoneticPr fontId="2" type="noConversion"/>
  <dataValidations count="1">
    <dataValidation type="decimal" operator="greaterThanOrEqual" allowBlank="1" showErrorMessage="1" promptTitle="Chybné zadání" prompt="Je nutné zadat číselnou hodnotu." sqref="D5:D7" xr:uid="{AA92029C-BB8C-49F6-93A9-4DFD403178F2}">
      <formula1>0</formula1>
    </dataValidation>
  </dataValidations>
  <hyperlinks>
    <hyperlink ref="B2" location="ROZCESTNIK!B3" display="← Zpět na úvodní stranu" xr:uid="{69221A2D-DE57-4638-A7E0-863AA695927B}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B4245-9AC9-4AEB-9029-78563F3CB659}">
  <sheetPr codeName="List4"/>
  <dimension ref="B1:L18"/>
  <sheetViews>
    <sheetView workbookViewId="0">
      <selection activeCell="B2" sqref="B2"/>
    </sheetView>
  </sheetViews>
  <sheetFormatPr defaultRowHeight="15" x14ac:dyDescent="0.25"/>
  <cols>
    <col min="1" max="1" width="1.7109375" style="1" customWidth="1"/>
    <col min="2" max="3" width="50.7109375" style="1" customWidth="1"/>
    <col min="4" max="6" width="16.7109375" style="1" customWidth="1"/>
    <col min="7" max="7" width="1.7109375" style="4" customWidth="1"/>
    <col min="8" max="8" width="16.7109375" style="1" customWidth="1"/>
    <col min="9" max="9" width="1.7109375" style="1" customWidth="1"/>
    <col min="10" max="10" width="16.7109375" style="1" customWidth="1"/>
    <col min="11" max="11" width="1.7109375" style="1" customWidth="1"/>
    <col min="12" max="12" width="16.7109375" style="1" customWidth="1"/>
    <col min="13" max="16384" width="9.140625" style="1"/>
  </cols>
  <sheetData>
    <row r="1" spans="2:12" ht="8.1" customHeight="1" x14ac:dyDescent="0.25"/>
    <row r="2" spans="2:12" x14ac:dyDescent="0.25">
      <c r="B2" s="53" t="s">
        <v>345</v>
      </c>
    </row>
    <row r="3" spans="2:12" ht="8.1" customHeight="1" x14ac:dyDescent="0.25"/>
    <row r="4" spans="2:12" ht="30" customHeight="1" x14ac:dyDescent="0.25">
      <c r="B4" s="12" t="s">
        <v>0</v>
      </c>
      <c r="C4" s="12" t="s">
        <v>1</v>
      </c>
      <c r="D4" s="19" t="s">
        <v>346</v>
      </c>
      <c r="E4" s="13" t="s">
        <v>23</v>
      </c>
      <c r="F4" s="13" t="s">
        <v>401</v>
      </c>
      <c r="H4" s="13" t="s">
        <v>347</v>
      </c>
      <c r="J4" s="13" t="s">
        <v>2</v>
      </c>
      <c r="L4" s="33" t="s">
        <v>383</v>
      </c>
    </row>
    <row r="5" spans="2:12" x14ac:dyDescent="0.25">
      <c r="B5" s="2" t="s">
        <v>8</v>
      </c>
      <c r="C5" s="2" t="str">
        <f>INDEX(DB_PODPOR!K:K,MATCH(EKOSCHEMA!$G5,DB_PODPOR!B:B,0))</f>
        <v>Precizní zemědělství</v>
      </c>
      <c r="D5" s="51">
        <v>0</v>
      </c>
      <c r="E5" s="3">
        <f>IF(ROZCESTNIK!$F$3="EUR",INDEX(DB_PODPOR!$E:$E,MATCH($G5,DB_PODPOR!$B:$B,0)),INDEX(DB_PODPOR!$D:$D,MATCH($G5,DB_PODPOR!$B:$B,0)))</f>
        <v>15.09433962264151</v>
      </c>
      <c r="F5" s="36" t="str">
        <f>ROZCESTNIK!$F$3</f>
        <v>EUR</v>
      </c>
      <c r="G5" s="4" t="s">
        <v>356</v>
      </c>
      <c r="H5" s="3" t="str">
        <f>IF(MS!$J$5="ano","–",IF($D5&gt;0,$D5*$E5,"–"))</f>
        <v>–</v>
      </c>
      <c r="J5" s="5" t="str">
        <f ca="1">IF(SUM(Ekoschema_plocha_zdroj)=0,"–",IF(MS!$J$5="ne",SUMPRODUCT(Ekoschema_plocha_zdroj,Ekoschema_sazba_zdroj),SUM(EKOSCHEMA!$H$5:$H$15)))</f>
        <v>–</v>
      </c>
      <c r="L5" s="3">
        <f>SUM($D$5:$D$15)</f>
        <v>0</v>
      </c>
    </row>
    <row r="6" spans="2:12" x14ac:dyDescent="0.25">
      <c r="B6" s="2" t="s">
        <v>8</v>
      </c>
      <c r="C6" s="2" t="str">
        <f>INDEX(DB_PODPOR!K:K,MATCH(EKOSCHEMA!$G6,DB_PODPOR!B:B,0))</f>
        <v>Šetrný management na orné půdě</v>
      </c>
      <c r="D6" s="51">
        <v>0</v>
      </c>
      <c r="E6" s="3">
        <f>IF(ROZCESTNIK!$F$3="EUR",INDEX(DB_PODPOR!$E:$E,MATCH($G6,DB_PODPOR!$B:$B,0)),INDEX(DB_PODPOR!$D:$D,MATCH($G6,DB_PODPOR!$B:$B,0)))</f>
        <v>67.870747287529937</v>
      </c>
      <c r="F6" s="36" t="str">
        <f>ROZCESTNIK!$F$3</f>
        <v>EUR</v>
      </c>
      <c r="G6" s="4" t="s">
        <v>41</v>
      </c>
      <c r="H6" s="3" t="str">
        <f>IF(MS!$J$5="ano","–",IF($D6&gt;0,$D6*$E6,"–"))</f>
        <v>–</v>
      </c>
    </row>
    <row r="7" spans="2:12" x14ac:dyDescent="0.25">
      <c r="B7" s="2" t="s">
        <v>8</v>
      </c>
      <c r="C7" s="2" t="str">
        <f>INDEX(DB_PODPOR!K:K,MATCH(EKOSCHEMA!$G7,DB_PODPOR!B:B,0))</f>
        <v>Šetrný management na travách na orné půdě (G)</v>
      </c>
      <c r="D7" s="51">
        <v>0</v>
      </c>
      <c r="E7" s="3">
        <f>IF(ROZCESTNIK!$F$3="EUR",INDEX(DB_PODPOR!$E:$E,MATCH($G7,DB_PODPOR!$B:$B,0)),INDEX(DB_PODPOR!$D:$D,MATCH($G7,DB_PODPOR!$B:$B,0)))</f>
        <v>67.870747287529937</v>
      </c>
      <c r="F7" s="36" t="str">
        <f>ROZCESTNIK!$F$3</f>
        <v>EUR</v>
      </c>
      <c r="G7" s="4" t="s">
        <v>360</v>
      </c>
      <c r="H7" s="3" t="str">
        <f>IF(MS!$J$5="ano","–",IF($D7&gt;0,$D7*$E7,"–"))</f>
        <v>–</v>
      </c>
    </row>
    <row r="8" spans="2:12" x14ac:dyDescent="0.25">
      <c r="B8" s="2" t="s">
        <v>8</v>
      </c>
      <c r="C8" s="2" t="str">
        <f>INDEX(DB_PODPOR!K:K,MATCH(EKOSCHEMA!$G8,DB_PODPOR!B:B,0))</f>
        <v>Šetrný management na travních porostech (T)</v>
      </c>
      <c r="D8" s="51">
        <v>0</v>
      </c>
      <c r="E8" s="3">
        <f>IF(ROZCESTNIK!$F$3="EUR",INDEX(DB_PODPOR!$E:$E,MATCH($G8,DB_PODPOR!$B:$B,0)),INDEX(DB_PODPOR!$D:$D,MATCH($G8,DB_PODPOR!$B:$B,0)))</f>
        <v>67.870747287529937</v>
      </c>
      <c r="F8" s="36" t="str">
        <f>ROZCESTNIK!$F$3</f>
        <v>EUR</v>
      </c>
      <c r="G8" s="4" t="s">
        <v>362</v>
      </c>
      <c r="H8" s="3" t="str">
        <f>IF(MS!$J$5="ano","–",IF($D8&gt;0,$D8*$E8,"–"))</f>
        <v>–</v>
      </c>
    </row>
    <row r="9" spans="2:12" x14ac:dyDescent="0.25">
      <c r="B9" s="2" t="s">
        <v>8</v>
      </c>
      <c r="C9" s="2" t="str">
        <f>INDEX(DB_PODPOR!K:K,MATCH(EKOSCHEMA!$G9,DB_PODPOR!B:B,0))</f>
        <v>Šetrný management na úhoru (Ú)</v>
      </c>
      <c r="D9" s="51">
        <v>0</v>
      </c>
      <c r="E9" s="3">
        <f>IF(ROZCESTNIK!$F$3="EUR",INDEX(DB_PODPOR!$E:$E,MATCH($G9,DB_PODPOR!$B:$B,0)),INDEX(DB_PODPOR!$D:$D,MATCH($G9,DB_PODPOR!$B:$B,0)))</f>
        <v>67.870747287529937</v>
      </c>
      <c r="F9" s="36" t="str">
        <f>ROZCESTNIK!$F$3</f>
        <v>EUR</v>
      </c>
      <c r="G9" s="4" t="s">
        <v>48</v>
      </c>
      <c r="H9" s="3" t="str">
        <f>IF(MS!$J$5="ano","–",IF($D9&gt;0,$D9*$E9,"–"))</f>
        <v>–</v>
      </c>
    </row>
    <row r="10" spans="2:12" x14ac:dyDescent="0.25">
      <c r="B10" s="2" t="s">
        <v>8</v>
      </c>
      <c r="C10" s="2" t="str">
        <f>INDEX(DB_PODPOR!K:K,MATCH(EKOSCHEMA!$G10,DB_PODPOR!B:B,0))</f>
        <v>Šetrný management v sadech (S)</v>
      </c>
      <c r="D10" s="51">
        <v>0</v>
      </c>
      <c r="E10" s="3">
        <f>IF(ROZCESTNIK!$F$3="EUR",INDEX(DB_PODPOR!$E:$E,MATCH($G10,DB_PODPOR!$B:$B,0)),INDEX(DB_PODPOR!$D:$D,MATCH($G10,DB_PODPOR!$B:$B,0)))</f>
        <v>67.870747287529937</v>
      </c>
      <c r="F10" s="36" t="str">
        <f>ROZCESTNIK!$F$3</f>
        <v>EUR</v>
      </c>
      <c r="G10" s="4" t="s">
        <v>52</v>
      </c>
      <c r="H10" s="3" t="str">
        <f>IF(MS!$J$5="ano","–",IF($D10&gt;0,$D10*$E10,"–"))</f>
        <v>–</v>
      </c>
    </row>
    <row r="11" spans="2:12" x14ac:dyDescent="0.25">
      <c r="B11" s="2" t="s">
        <v>8</v>
      </c>
      <c r="C11" s="2" t="str">
        <f>INDEX(DB_PODPOR!K:K,MATCH(EKOSCHEMA!$G11,DB_PODPOR!B:B,0))</f>
        <v>Šetrný management na vinicích (V)</v>
      </c>
      <c r="D11" s="51">
        <v>0</v>
      </c>
      <c r="E11" s="3">
        <f>IF(ROZCESTNIK!$F$3="EUR",INDEX(DB_PODPOR!$E:$E,MATCH($G11,DB_PODPOR!$B:$B,0)),INDEX(DB_PODPOR!$D:$D,MATCH($G11,DB_PODPOR!$B:$B,0)))</f>
        <v>67.870747287529937</v>
      </c>
      <c r="F11" s="36" t="str">
        <f>ROZCESTNIK!$F$3</f>
        <v>EUR</v>
      </c>
      <c r="G11" s="4" t="s">
        <v>57</v>
      </c>
      <c r="H11" s="3" t="str">
        <f>IF(MS!$J$5="ano","–",IF($D11&gt;0,$D11*$E11,"–"))</f>
        <v>–</v>
      </c>
    </row>
    <row r="12" spans="2:12" x14ac:dyDescent="0.25">
      <c r="B12" s="2" t="s">
        <v>8</v>
      </c>
      <c r="C12" s="2" t="str">
        <f>INDEX(DB_PODPOR!K:K,MATCH(EKOSCHEMA!$G12,DB_PODPOR!B:B,0))</f>
        <v>Šetrný management na chmelnicích (C)</v>
      </c>
      <c r="D12" s="51">
        <v>0</v>
      </c>
      <c r="E12" s="3">
        <f>IF(ROZCESTNIK!$F$3="EUR",INDEX(DB_PODPOR!$E:$E,MATCH($G12,DB_PODPOR!$B:$B,0)),INDEX(DB_PODPOR!$D:$D,MATCH($G12,DB_PODPOR!$B:$B,0)))</f>
        <v>67.870747287529937</v>
      </c>
      <c r="F12" s="36" t="str">
        <f>ROZCESTNIK!$F$3</f>
        <v>EUR</v>
      </c>
      <c r="G12" s="4" t="s">
        <v>60</v>
      </c>
      <c r="H12" s="3" t="str">
        <f>IF(MS!$J$5="ano","–",IF($D12&gt;0,$D12*$E12,"–"))</f>
        <v>–</v>
      </c>
    </row>
    <row r="13" spans="2:12" x14ac:dyDescent="0.25">
      <c r="B13" s="2" t="s">
        <v>8</v>
      </c>
      <c r="C13" s="2" t="str">
        <f>INDEX(DB_PODPOR!K:K,MATCH(EKOSCHEMA!$G13,DB_PODPOR!B:B,0))</f>
        <v>Šetrný management na jiné kultuře (J)</v>
      </c>
      <c r="D13" s="51">
        <v>0</v>
      </c>
      <c r="E13" s="3">
        <f>IF(ROZCESTNIK!$F$3="EUR",INDEX(DB_PODPOR!$E:$E,MATCH($G13,DB_PODPOR!$B:$B,0)),INDEX(DB_PODPOR!$D:$D,MATCH($G13,DB_PODPOR!$B:$B,0)))</f>
        <v>67.870747287529937</v>
      </c>
      <c r="F13" s="36" t="str">
        <f>ROZCESTNIK!$F$3</f>
        <v>EUR</v>
      </c>
      <c r="G13" s="4" t="s">
        <v>64</v>
      </c>
      <c r="H13" s="3" t="str">
        <f>IF(MS!$J$5="ano","–",IF($D13&gt;0,$D13*$E13,"–"))</f>
        <v>–</v>
      </c>
    </row>
    <row r="14" spans="2:12" x14ac:dyDescent="0.25">
      <c r="B14" s="2" t="s">
        <v>8</v>
      </c>
      <c r="C14" s="2" t="str">
        <f>INDEX(DB_PODPOR!K:K,MATCH(EKOSCHEMA!$G14,DB_PODPOR!B:B,0))</f>
        <v>Šetrný management ve školkách (K)</v>
      </c>
      <c r="D14" s="51">
        <v>0</v>
      </c>
      <c r="E14" s="3">
        <f>IF(ROZCESTNIK!$F$3="EUR",INDEX(DB_PODPOR!$E:$E,MATCH($G14,DB_PODPOR!$B:$B,0)),INDEX(DB_PODPOR!$D:$D,MATCH($G14,DB_PODPOR!$B:$B,0)))</f>
        <v>67.870747287529937</v>
      </c>
      <c r="F14" s="36" t="str">
        <f>ROZCESTNIK!$F$3</f>
        <v>EUR</v>
      </c>
      <c r="G14" s="4" t="s">
        <v>375</v>
      </c>
      <c r="H14" s="3" t="str">
        <f>IF(MS!$J$5="ano","–",IF($D14&gt;0,$D14*$E14,"–"))</f>
        <v>–</v>
      </c>
    </row>
    <row r="15" spans="2:12" x14ac:dyDescent="0.25">
      <c r="B15" s="2" t="s">
        <v>8</v>
      </c>
      <c r="C15" s="2" t="str">
        <f>INDEX(DB_PODPOR!K:K,MATCH(EKOSCHEMA!$G15,DB_PODPOR!B:B,0))</f>
        <v>Šetrný management na RRD (D)</v>
      </c>
      <c r="D15" s="51">
        <v>0</v>
      </c>
      <c r="E15" s="3">
        <f>IF(ROZCESTNIK!$F$3="EUR",INDEX(DB_PODPOR!$E:$E,MATCH($G15,DB_PODPOR!$B:$B,0)),INDEX(DB_PODPOR!$D:$D,MATCH($G15,DB_PODPOR!$B:$B,0)))</f>
        <v>67.870747287529937</v>
      </c>
      <c r="F15" s="36" t="str">
        <f>ROZCESTNIK!$F$3</f>
        <v>EUR</v>
      </c>
      <c r="G15" s="4" t="s">
        <v>358</v>
      </c>
      <c r="H15" s="3" t="str">
        <f>IF(MS!$J$5="ano","–",IF($D15&gt;0,$D15*$E15,"–"))</f>
        <v>–</v>
      </c>
    </row>
    <row r="16" spans="2:12" x14ac:dyDescent="0.25">
      <c r="C16" s="30"/>
      <c r="H16" s="10" t="str">
        <f ca="1">$J$5</f>
        <v>–</v>
      </c>
    </row>
    <row r="17" spans="8:8" x14ac:dyDescent="0.25">
      <c r="H17" s="8"/>
    </row>
    <row r="18" spans="8:8" x14ac:dyDescent="0.25">
      <c r="H18" s="9"/>
    </row>
  </sheetData>
  <sheetProtection algorithmName="SHA-512" hashValue="3c0Wl5YyzFSZZXihTmPRa6+GK4MeEE2bmkOKPZzwmZyOr+oztdQfQmq1E9I7ubzA9ndcZ9Bp+PWpycL3SWj6Cg==" saltValue="dksUMvmc5AEZLFV88x1w7g==" spinCount="100000" sheet="1" objects="1" scenarios="1" selectLockedCells="1"/>
  <conditionalFormatting sqref="D4">
    <cfRule type="expression" dxfId="37" priority="3">
      <formula>COUNTIF(Ekoschema_plocha_zdroj,0)=COUNTA(EKOSCHEMA_titul_zdroj)</formula>
    </cfRule>
  </conditionalFormatting>
  <conditionalFormatting sqref="D5:D15">
    <cfRule type="expression" dxfId="36" priority="2">
      <formula>$D5=0</formula>
    </cfRule>
  </conditionalFormatting>
  <dataValidations count="1">
    <dataValidation type="decimal" operator="greaterThanOrEqual" allowBlank="1" showInputMessage="1" showErrorMessage="1" promptTitle="Zadání číselné hodnoty" prompt="Lze zadat pouze číselnou hodnotu._x000a__x000a_Součet udávaných výměr nesmí být vyšší než celková výměra zapsaná na listu SAPS." sqref="D5 D7:D15 D6" xr:uid="{9337563A-D07A-48FE-BAED-46ECF23B1FC1}">
      <formula1>0</formula1>
    </dataValidation>
  </dataValidations>
  <hyperlinks>
    <hyperlink ref="B2" location="ROZCESTNIK!B3" display="← Zpět na úvodní stranu" xr:uid="{8487B80F-585F-45BA-80A1-DB932089D000}"/>
  </hyperlink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57818CC-B5EC-4B44-A5FE-0B6D0858AF98}">
            <xm:f>SUM($D$5:$D$15)&gt;SAPS!$D$5</xm:f>
            <x14:dxf>
              <font>
                <color rgb="FFCC0000"/>
              </font>
              <fill>
                <patternFill>
                  <bgColor theme="7" tint="0.39994506668294322"/>
                </patternFill>
              </fill>
              <border>
                <left style="thin">
                  <color rgb="FFCC0000"/>
                </left>
                <right style="thin">
                  <color rgb="FFCC0000"/>
                </right>
                <top style="thin">
                  <color rgb="FFCC0000"/>
                </top>
                <bottom style="thin">
                  <color rgb="FFCC0000"/>
                </bottom>
                <vertical/>
                <horizontal/>
              </border>
            </x14:dxf>
          </x14:cfRule>
          <xm:sqref>L5 D5:D15</xm:sqref>
        </x14:conditionalFormatting>
        <x14:conditionalFormatting xmlns:xm="http://schemas.microsoft.com/office/excel/2006/main">
          <x14:cfRule type="expression" priority="1" id="{BB848791-DF72-4D77-991D-747F9289A58D}">
            <xm:f>$L$5&gt;SAPS!$D$5</xm:f>
            <x14:dxf>
              <font>
                <b/>
                <i val="0"/>
                <color rgb="FFFFFF66"/>
              </font>
              <fill>
                <patternFill>
                  <bgColor rgb="FFFFC000"/>
                </patternFill>
              </fill>
              <border>
                <left style="thin">
                  <color rgb="FFCC0000"/>
                </left>
                <right style="thin">
                  <color rgb="FFCC0000"/>
                </right>
                <top style="thin">
                  <color rgb="FFCC0000"/>
                </top>
                <bottom style="thin">
                  <color rgb="FFCC0000"/>
                </bottom>
                <vertical/>
                <horizontal/>
              </border>
            </x14:dxf>
          </x14:cfRule>
          <xm:sqref>L4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whole" operator="greaterThan" allowBlank="1" showInputMessage="1" showErrorMessage="1" promptTitle="Zadání číselných hodnot" prompt="Součet udávaných výměr nesmí být vyšší než celková výměra zapsaná na listu SAPS." xr:uid="{85C4DDE6-0362-43CA-B6BB-F00DF5A377CA}">
          <x14:formula1>
            <xm:f>SAPS!E5</xm:f>
          </x14:formula1>
          <xm:sqref>L5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AAD61-5DD5-4BD7-BD24-01687C4760DD}">
  <sheetPr codeName="List5"/>
  <dimension ref="B1:J5"/>
  <sheetViews>
    <sheetView workbookViewId="0">
      <selection activeCell="B2" sqref="B2"/>
    </sheetView>
  </sheetViews>
  <sheetFormatPr defaultRowHeight="15" x14ac:dyDescent="0.25"/>
  <cols>
    <col min="1" max="1" width="1.7109375" style="1" customWidth="1"/>
    <col min="2" max="3" width="30.7109375" style="1" customWidth="1"/>
    <col min="4" max="6" width="16.7109375" style="1" customWidth="1"/>
    <col min="7" max="7" width="1.7109375" style="1" customWidth="1"/>
    <col min="8" max="8" width="16.7109375" style="1" customWidth="1"/>
    <col min="9" max="9" width="1.7109375" style="1" customWidth="1"/>
    <col min="10" max="10" width="16.7109375" style="1" bestFit="1" customWidth="1"/>
    <col min="11" max="16384" width="9.140625" style="1"/>
  </cols>
  <sheetData>
    <row r="1" spans="2:10" ht="8.1" customHeight="1" x14ac:dyDescent="0.25"/>
    <row r="2" spans="2:10" x14ac:dyDescent="0.25">
      <c r="B2" s="53" t="s">
        <v>345</v>
      </c>
    </row>
    <row r="3" spans="2:10" ht="8.1" customHeight="1" x14ac:dyDescent="0.25"/>
    <row r="4" spans="2:10" ht="30" customHeight="1" x14ac:dyDescent="0.25">
      <c r="B4" s="13" t="s">
        <v>0</v>
      </c>
      <c r="C4" s="13" t="s">
        <v>1</v>
      </c>
      <c r="D4" s="13" t="s">
        <v>346</v>
      </c>
      <c r="E4" s="13" t="s">
        <v>23</v>
      </c>
      <c r="F4" s="13" t="s">
        <v>401</v>
      </c>
      <c r="H4" s="13" t="s">
        <v>347</v>
      </c>
      <c r="J4" s="14" t="s">
        <v>10</v>
      </c>
    </row>
    <row r="5" spans="2:10" x14ac:dyDescent="0.25">
      <c r="B5" s="2" t="s">
        <v>348</v>
      </c>
      <c r="C5" s="2" t="s">
        <v>348</v>
      </c>
      <c r="D5" s="31">
        <f>IF($J$5="ne",0,IF(SAPS!$D$5&gt;90,90,SAPS!$D$5))</f>
        <v>0</v>
      </c>
      <c r="E5" s="3">
        <f>IF(ROZCESTNIK!$F$3="EUR",INDEX(DB_PODPOR!$E:$E,MATCH($G5,DB_PODPOR!$B:$B,0)),INDEX(DB_PODPOR!$D:$D,MATCH($G5,DB_PODPOR!$B:$B,0)))</f>
        <v>46.307068042437798</v>
      </c>
      <c r="F5" s="36" t="str">
        <f>ROZCESTNIK!$F$3</f>
        <v>EUR</v>
      </c>
      <c r="G5" s="4" t="s">
        <v>39</v>
      </c>
      <c r="H5" s="3" t="str">
        <f>IF(MS!$J$5="ne",IF($J$5="ano",IF($D$5&gt;0,$D$5*$E$5,"–"),"–"),"–")</f>
        <v>–</v>
      </c>
      <c r="J5" s="52" t="s">
        <v>380</v>
      </c>
    </row>
  </sheetData>
  <sheetProtection algorithmName="SHA-512" hashValue="wmVmzvLhQCqyYOY2BIlvAv/FkVPFKNnQ4pNgvFDPJIGuTRaeAWmJHnxPga0RIC+ER9rjrjm7lYalMHBrH+pC1Q==" saltValue="SEswKRmTTFoiFSekoQrLBg==" spinCount="100000" sheet="1" objects="1" scenarios="1" selectLockedCells="1"/>
  <dataValidations count="2">
    <dataValidation type="decimal" operator="greaterThanOrEqual" allowBlank="1" showErrorMessage="1" promptTitle="Chybné zadání" prompt="Je nutné zadat číselnou hodnotu." sqref="D5" xr:uid="{A2F53296-D338-41BE-9033-E3BC4DE674C3}">
      <formula1>0</formula1>
    </dataValidation>
    <dataValidation type="list" allowBlank="1" showInputMessage="1" showErrorMessage="1" sqref="J5" xr:uid="{208B1089-00C7-4CBD-98DB-C954BBF76186}">
      <formula1>"ne, ano"</formula1>
    </dataValidation>
  </dataValidations>
  <hyperlinks>
    <hyperlink ref="B2" location="ROZCESTNIK!B3" display="← Zpět na úvodní stranu" xr:uid="{C09F1BDA-63A5-4C7F-BAA3-E857226210C3}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4A978-0F1E-40D7-864F-6F9369036F00}">
  <sheetPr codeName="List6"/>
  <dimension ref="B1:J16"/>
  <sheetViews>
    <sheetView workbookViewId="0">
      <selection activeCell="D8" sqref="D8"/>
    </sheetView>
  </sheetViews>
  <sheetFormatPr defaultRowHeight="15" x14ac:dyDescent="0.25"/>
  <cols>
    <col min="1" max="1" width="1.7109375" style="1" customWidth="1"/>
    <col min="2" max="3" width="30.7109375" style="1" customWidth="1"/>
    <col min="4" max="6" width="16.7109375" style="1" customWidth="1"/>
    <col min="7" max="7" width="1.7109375" style="4" customWidth="1"/>
    <col min="8" max="8" width="16.7109375" style="1" customWidth="1"/>
    <col min="9" max="9" width="1.7109375" style="1" customWidth="1"/>
    <col min="10" max="10" width="16.7109375" style="1" customWidth="1"/>
    <col min="11" max="16384" width="9.140625" style="1"/>
  </cols>
  <sheetData>
    <row r="1" spans="2:10" ht="8.1" customHeight="1" x14ac:dyDescent="0.25"/>
    <row r="2" spans="2:10" x14ac:dyDescent="0.25">
      <c r="B2" s="53" t="s">
        <v>345</v>
      </c>
    </row>
    <row r="3" spans="2:10" ht="8.1" customHeight="1" x14ac:dyDescent="0.25"/>
    <row r="4" spans="2:10" ht="30" customHeight="1" x14ac:dyDescent="0.25">
      <c r="B4" s="12" t="s">
        <v>0</v>
      </c>
      <c r="C4" s="12" t="s">
        <v>1</v>
      </c>
      <c r="D4" s="19" t="s">
        <v>349</v>
      </c>
      <c r="E4" s="12" t="s">
        <v>23</v>
      </c>
      <c r="F4" s="12" t="s">
        <v>401</v>
      </c>
      <c r="H4" s="12" t="s">
        <v>347</v>
      </c>
      <c r="J4" s="12" t="s">
        <v>2</v>
      </c>
    </row>
    <row r="5" spans="2:10" x14ac:dyDescent="0.25">
      <c r="B5" s="2" t="s">
        <v>45</v>
      </c>
      <c r="C5" s="2" t="str">
        <f>INDEX(DB_PODPOR!K:K,MATCH(VCS!$G5,DB_PODPOR!B:B,0))</f>
        <v>Bílkovinné plodiny</v>
      </c>
      <c r="D5" s="51">
        <v>0</v>
      </c>
      <c r="E5" s="3">
        <f>IF(ROZCESTNIK!$F$3="EUR",INDEX(DB_PODPOR!$E:$E,MATCH($G5,DB_PODPOR!$B:$B,0)),INDEX(DB_PODPOR!$D:$D,MATCH($G5,DB_PODPOR!$B:$B,0)))</f>
        <v>61.68</v>
      </c>
      <c r="F5" s="36" t="str">
        <f>ROZCESTNIK!$F$3</f>
        <v>EUR</v>
      </c>
      <c r="G5" s="4" t="s">
        <v>73</v>
      </c>
      <c r="H5" s="3" t="str">
        <f>IF(MS!$J$5="ne",IF($D5&gt;0,$D5*$E5,"–"),"–")</f>
        <v>–</v>
      </c>
      <c r="J5" s="3" t="str">
        <f ca="1">IF(SUM(VCS_plocha_zdroj)=0,"–",SUMPRODUCT(VCS_plocha_zdroj,VCS_sazba_zdroj))</f>
        <v>–</v>
      </c>
    </row>
    <row r="6" spans="2:10" x14ac:dyDescent="0.25">
      <c r="B6" s="2" t="s">
        <v>45</v>
      </c>
      <c r="C6" s="2" t="str">
        <f>INDEX(DB_PODPOR!K:K,MATCH(VCS!$G6,DB_PODPOR!B:B,0))</f>
        <v>Cukrovka</v>
      </c>
      <c r="D6" s="51">
        <v>0</v>
      </c>
      <c r="E6" s="3">
        <f>IF(ROZCESTNIK!$F$3="EUR",INDEX(DB_PODPOR!$E:$E,MATCH($G6,DB_PODPOR!$B:$B,0)),INDEX(DB_PODPOR!$D:$D,MATCH($G6,DB_PODPOR!$B:$B,0)))</f>
        <v>267.20279640395995</v>
      </c>
      <c r="F6" s="36" t="str">
        <f>ROZCESTNIK!$F$3</f>
        <v>EUR</v>
      </c>
      <c r="G6" s="4" t="s">
        <v>78</v>
      </c>
      <c r="H6" s="3" t="str">
        <f>IF(MS!$J$5="ne",IF($D6&gt;0,$D6*$E6,"–"),"–")</f>
        <v>–</v>
      </c>
    </row>
    <row r="7" spans="2:10" x14ac:dyDescent="0.25">
      <c r="B7" s="2" t="s">
        <v>45</v>
      </c>
      <c r="C7" s="2" t="str">
        <f>INDEX(DB_PODPOR!K:K,MATCH(VCS!$G7,DB_PODPOR!B:B,0))</f>
        <v>Škrobové brambory</v>
      </c>
      <c r="D7" s="51">
        <v>0</v>
      </c>
      <c r="E7" s="3">
        <f>IF(ROZCESTNIK!$F$3="EUR",INDEX(DB_PODPOR!$E:$E,MATCH($G7,DB_PODPOR!$B:$B,0)),INDEX(DB_PODPOR!$D:$D,MATCH($G7,DB_PODPOR!$B:$B,0)))</f>
        <v>530.46589554876687</v>
      </c>
      <c r="F7" s="36" t="str">
        <f>ROZCESTNIK!$F$3</f>
        <v>EUR</v>
      </c>
      <c r="G7" s="4" t="s">
        <v>84</v>
      </c>
      <c r="H7" s="3" t="str">
        <f>IF(MS!$J$5="ne",IF($D7&gt;0,$D7*$E7,"–"),"–")</f>
        <v>–</v>
      </c>
    </row>
    <row r="8" spans="2:10" x14ac:dyDescent="0.25">
      <c r="B8" s="2" t="s">
        <v>45</v>
      </c>
      <c r="C8" s="2" t="str">
        <f>INDEX(DB_PODPOR!K:K,MATCH(VCS!$G8,DB_PODPOR!B:B,0))</f>
        <v>Ovoce VP</v>
      </c>
      <c r="D8" s="51">
        <v>0</v>
      </c>
      <c r="E8" s="3">
        <f>IF(ROZCESTNIK!$F$3="EUR",INDEX(DB_PODPOR!$E:$E,MATCH($G8,DB_PODPOR!$B:$B,0)),INDEX(DB_PODPOR!$D:$D,MATCH($G8,DB_PODPOR!$B:$B,0)))</f>
        <v>349.30047763384084</v>
      </c>
      <c r="F8" s="36" t="str">
        <f>ROZCESTNIK!$F$3</f>
        <v>EUR</v>
      </c>
      <c r="G8" s="4" t="s">
        <v>86</v>
      </c>
      <c r="H8" s="3" t="str">
        <f>IF(MS!$J$5="ne",IF($D8&gt;0,$D8*$E8,"–"),"–")</f>
        <v>–</v>
      </c>
    </row>
    <row r="9" spans="2:10" x14ac:dyDescent="0.25">
      <c r="B9" s="2" t="s">
        <v>45</v>
      </c>
      <c r="C9" s="2" t="str">
        <f>INDEX(DB_PODPOR!K:K,MATCH(VCS!$G9,DB_PODPOR!B:B,0))</f>
        <v>Ovoce VVP</v>
      </c>
      <c r="D9" s="51">
        <v>0</v>
      </c>
      <c r="E9" s="3">
        <f>IF(ROZCESTNIK!$F$3="EUR",INDEX(DB_PODPOR!$E:$E,MATCH($G9,DB_PODPOR!$B:$B,0)),INDEX(DB_PODPOR!$D:$D,MATCH($G9,DB_PODPOR!$B:$B,0)))</f>
        <v>506.6650258975256</v>
      </c>
      <c r="F9" s="36" t="str">
        <f>ROZCESTNIK!$F$3</f>
        <v>EUR</v>
      </c>
      <c r="G9" s="4" t="s">
        <v>89</v>
      </c>
      <c r="H9" s="3" t="str">
        <f>IF(MS!$J$5="ne",IF($D9&gt;0,$D9*$E9,"–"),"–")</f>
        <v>–</v>
      </c>
    </row>
    <row r="10" spans="2:10" x14ac:dyDescent="0.25">
      <c r="B10" s="2" t="s">
        <v>45</v>
      </c>
      <c r="C10" s="2" t="str">
        <f>INDEX(DB_PODPOR!K:K,MATCH(VCS!$G10,DB_PODPOR!B:B,0))</f>
        <v>Zelenina VP</v>
      </c>
      <c r="D10" s="51">
        <v>0</v>
      </c>
      <c r="E10" s="3">
        <f>IF(ROZCESTNIK!$F$3="EUR",INDEX(DB_PODPOR!$E:$E,MATCH($G10,DB_PODPOR!$B:$B,0)),INDEX(DB_PODPOR!$D:$D,MATCH($G10,DB_PODPOR!$B:$B,0)))</f>
        <v>183.90705913085702</v>
      </c>
      <c r="F10" s="36" t="str">
        <f>ROZCESTNIK!$F$3</f>
        <v>EUR</v>
      </c>
      <c r="G10" s="4" t="s">
        <v>91</v>
      </c>
      <c r="H10" s="3" t="str">
        <f>IF(MS!$J$5="ne",IF($D10&gt;0,$D10*$E10,"–"),"–")</f>
        <v>–</v>
      </c>
    </row>
    <row r="11" spans="2:10" x14ac:dyDescent="0.25">
      <c r="B11" s="2" t="s">
        <v>45</v>
      </c>
      <c r="C11" s="2" t="str">
        <f>INDEX(DB_PODPOR!K:K,MATCH(VCS!$G11,DB_PODPOR!B:B,0))</f>
        <v>Zelenina VVP</v>
      </c>
      <c r="D11" s="51">
        <v>0</v>
      </c>
      <c r="E11" s="3">
        <f>IF(ROZCESTNIK!$F$3="EUR",INDEX(DB_PODPOR!$E:$E,MATCH($G11,DB_PODPOR!$B:$B,0)),INDEX(DB_PODPOR!$D:$D,MATCH($G11,DB_PODPOR!$B:$B,0)))</f>
        <v>522.52820867013691</v>
      </c>
      <c r="F11" s="36" t="str">
        <f>ROZCESTNIK!$F$3</f>
        <v>EUR</v>
      </c>
      <c r="G11" s="4" t="s">
        <v>96</v>
      </c>
      <c r="H11" s="3" t="str">
        <f>IF(MS!$J$5="ne",IF($D11&gt;0,$D11*$E11,"–"),"–")</f>
        <v>–</v>
      </c>
    </row>
    <row r="12" spans="2:10" x14ac:dyDescent="0.25">
      <c r="B12" s="2" t="s">
        <v>45</v>
      </c>
      <c r="C12" s="2" t="str">
        <f>INDEX(DB_PODPOR!K:K,MATCH(VCS!$G12,DB_PODPOR!B:B,0))</f>
        <v>Chmel</v>
      </c>
      <c r="D12" s="51">
        <v>0</v>
      </c>
      <c r="E12" s="3">
        <f>IF(ROZCESTNIK!$F$3="EUR",INDEX(DB_PODPOR!$E:$E,MATCH($G12,DB_PODPOR!$B:$B,0)),INDEX(DB_PODPOR!$D:$D,MATCH($G12,DB_PODPOR!$B:$B,0)))</f>
        <v>582.85665011164565</v>
      </c>
      <c r="F12" s="36" t="str">
        <f>ROZCESTNIK!$F$3</f>
        <v>EUR</v>
      </c>
      <c r="G12" s="4" t="s">
        <v>98</v>
      </c>
      <c r="H12" s="3" t="str">
        <f>IF(MS!$J$5="ne",IF($D12&gt;0,$D12*$E12,"–"),"–")</f>
        <v>–</v>
      </c>
    </row>
    <row r="13" spans="2:10" x14ac:dyDescent="0.25">
      <c r="B13" s="2" t="s">
        <v>45</v>
      </c>
      <c r="C13" s="2" t="str">
        <f>INDEX(DB_PODPOR!K:K,MATCH(VCS!$G13,DB_PODPOR!B:B,0))</f>
        <v>Masná telata</v>
      </c>
      <c r="D13" s="51">
        <v>0</v>
      </c>
      <c r="E13" s="3">
        <f>IF(ROZCESTNIK!$F$3="EUR",INDEX(DB_PODPOR!$E:$E,MATCH($G13,DB_PODPOR!$B:$B,0)),INDEX(DB_PODPOR!$D:$D,MATCH($G13,DB_PODPOR!$B:$B,0)))</f>
        <v>128.52000000000001</v>
      </c>
      <c r="F13" s="36" t="str">
        <f>ROZCESTNIK!$F$3</f>
        <v>EUR</v>
      </c>
      <c r="G13" s="4" t="s">
        <v>101</v>
      </c>
      <c r="H13" s="3" t="str">
        <f>IF(MS!$J$5="ne",IF($D13&gt;0,$D13*$E13,"–"),"–")</f>
        <v>–</v>
      </c>
    </row>
    <row r="14" spans="2:10" x14ac:dyDescent="0.25">
      <c r="B14" s="2" t="s">
        <v>45</v>
      </c>
      <c r="C14" s="2" t="str">
        <f>INDEX(DB_PODPOR!K:K,MATCH(VCS!$G14,DB_PODPOR!B:B,0))</f>
        <v>Dojnice</v>
      </c>
      <c r="D14" s="51">
        <v>0</v>
      </c>
      <c r="E14" s="3">
        <f>IF(ROZCESTNIK!$F$3="EUR",INDEX(DB_PODPOR!$E:$E,MATCH($G14,DB_PODPOR!$B:$B,0)),INDEX(DB_PODPOR!$D:$D,MATCH($G14,DB_PODPOR!$B:$B,0)))</f>
        <v>139.05110883283317</v>
      </c>
      <c r="F14" s="36" t="str">
        <f>ROZCESTNIK!$F$3</f>
        <v>EUR</v>
      </c>
      <c r="G14" s="4" t="s">
        <v>104</v>
      </c>
      <c r="H14" s="3" t="str">
        <f>IF(MS!$J$5="ne",IF($D14&gt;0,$D14*$E14,"–"),"–")</f>
        <v>–</v>
      </c>
    </row>
    <row r="15" spans="2:10" x14ac:dyDescent="0.25">
      <c r="B15" s="2" t="s">
        <v>45</v>
      </c>
      <c r="C15" s="2" t="str">
        <f>INDEX(DB_PODPOR!K:K,MATCH(VCS!$G15,DB_PODPOR!B:B,0))</f>
        <v>Pasené ovce a kozy</v>
      </c>
      <c r="D15" s="51">
        <v>0</v>
      </c>
      <c r="E15" s="3">
        <f>IF(ROZCESTNIK!$F$3="EUR",INDEX(DB_PODPOR!$E:$E,MATCH($G15,DB_PODPOR!$B:$B,0)),INDEX(DB_PODPOR!$D:$D,MATCH($G15,DB_PODPOR!$B:$B,0)))</f>
        <v>20.83</v>
      </c>
      <c r="F15" s="36" t="str">
        <f>ROZCESTNIK!$F$3</f>
        <v>EUR</v>
      </c>
      <c r="G15" s="4" t="s">
        <v>108</v>
      </c>
      <c r="H15" s="3" t="str">
        <f>IF(MS!$J$5="ne",IF($D15&gt;0,$D15*$E15,"–"),"–")</f>
        <v>–</v>
      </c>
    </row>
    <row r="16" spans="2:10" x14ac:dyDescent="0.25">
      <c r="B16" s="7" t="s">
        <v>45</v>
      </c>
    </row>
  </sheetData>
  <sheetProtection algorithmName="SHA-512" hashValue="HhgAbaphsP8MO2lEqovEw9B+UWIkGakHqJpWEkeITHfGl8zYocK18YKOqLirmJMn7Gmma3Jx/+gqj3sQP7UAQw==" saltValue="CEUAr2aM/MbLXr11JkETkA==" spinCount="100000" sheet="1" objects="1" scenarios="1" selectLockedCells="1"/>
  <conditionalFormatting sqref="D5:D14">
    <cfRule type="expression" dxfId="33" priority="5">
      <formula>$D5=0</formula>
    </cfRule>
  </conditionalFormatting>
  <conditionalFormatting sqref="D4">
    <cfRule type="expression" dxfId="32" priority="2">
      <formula>COUNTIF(VCS_plocha_zdroj,0)=COUNTA(VCS_titul_zdroj)</formula>
    </cfRule>
  </conditionalFormatting>
  <conditionalFormatting sqref="D15">
    <cfRule type="expression" dxfId="31" priority="1">
      <formula>$D15=0</formula>
    </cfRule>
  </conditionalFormatting>
  <hyperlinks>
    <hyperlink ref="B2" location="ROZCESTNIK!B3" display="← Zpět na úvodní stranu" xr:uid="{50FE3FE8-7234-4FE2-B2C4-F7D0529D9A19}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9D887-8BC7-4779-9EAA-CC64F17C4E1A}">
  <sheetPr codeName="List7"/>
  <dimension ref="B1:J5"/>
  <sheetViews>
    <sheetView workbookViewId="0">
      <selection activeCell="B2" sqref="B2"/>
    </sheetView>
  </sheetViews>
  <sheetFormatPr defaultRowHeight="15" x14ac:dyDescent="0.25"/>
  <cols>
    <col min="1" max="1" width="1.7109375" style="1" customWidth="1"/>
    <col min="2" max="3" width="30.7109375" style="1" customWidth="1"/>
    <col min="4" max="6" width="16.7109375" style="1" customWidth="1"/>
    <col min="7" max="7" width="1.7109375" style="1" customWidth="1"/>
    <col min="8" max="8" width="16.7109375" style="1" customWidth="1"/>
    <col min="9" max="9" width="1.7109375" style="1" customWidth="1"/>
    <col min="10" max="10" width="16.7109375" style="1" customWidth="1"/>
    <col min="11" max="16384" width="9.140625" style="1"/>
  </cols>
  <sheetData>
    <row r="1" spans="2:10" ht="8.1" customHeight="1" x14ac:dyDescent="0.25"/>
    <row r="2" spans="2:10" x14ac:dyDescent="0.25">
      <c r="B2" s="53" t="s">
        <v>345</v>
      </c>
    </row>
    <row r="3" spans="2:10" ht="8.1" customHeight="1" x14ac:dyDescent="0.25"/>
    <row r="4" spans="2:10" ht="30" customHeight="1" x14ac:dyDescent="0.25">
      <c r="B4" s="13" t="s">
        <v>0</v>
      </c>
      <c r="C4" s="13" t="s">
        <v>1</v>
      </c>
      <c r="D4" s="13" t="s">
        <v>346</v>
      </c>
      <c r="E4" s="13" t="s">
        <v>23</v>
      </c>
      <c r="F4" s="13" t="s">
        <v>401</v>
      </c>
      <c r="H4" s="13" t="s">
        <v>347</v>
      </c>
      <c r="J4" s="14" t="s">
        <v>373</v>
      </c>
    </row>
    <row r="5" spans="2:10" x14ac:dyDescent="0.25">
      <c r="B5" s="2" t="s">
        <v>370</v>
      </c>
      <c r="C5" s="2" t="s">
        <v>370</v>
      </c>
      <c r="D5" s="32">
        <f>IF($J$5="ne",0,IF(SAPS!$D$5&gt;4,0,SAPS!$D$5))</f>
        <v>0</v>
      </c>
      <c r="E5" s="3">
        <f>IF(ROZCESTNIK!$F$3="EUR",INDEX(DB_PODPOR!$E:$E,MATCH($G5,DB_PODPOR!$B:$B,0)),INDEX(DB_PODPOR!$D:$D,MATCH($G5,DB_PODPOR!$B:$B,0)))</f>
        <v>312.5</v>
      </c>
      <c r="F5" s="36" t="str">
        <f>ROZCESTNIK!$F$3</f>
        <v>EUR</v>
      </c>
      <c r="G5" s="4" t="s">
        <v>370</v>
      </c>
      <c r="H5" s="3" t="str">
        <f>IF($J$5="ano",IF($D$5&gt;0,$D$5*$E$5,"–"),"–")</f>
        <v>–</v>
      </c>
      <c r="J5" s="54" t="s">
        <v>380</v>
      </c>
    </row>
  </sheetData>
  <sheetProtection algorithmName="SHA-512" hashValue="gCN5aQ1MeLsqTpIABbZvTX9xA/YN0wmAZDAqrD25Ikkm3LKxPEulNq+CIcC21TLVdzvZ8KGoBYa/YeyoV7jWjw==" saltValue="pc72UZYbKcvMPqY+Gz17yg==" spinCount="100000" sheet="1" objects="1" scenarios="1" selectLockedCells="1"/>
  <dataValidations count="2">
    <dataValidation type="decimal" operator="greaterThanOrEqual" allowBlank="1" showErrorMessage="1" promptTitle="Chybné zadání" prompt="Je nutné zadat číselnou hodnotu." sqref="D5" xr:uid="{49568D0D-01B4-4AE8-BC75-745C1AAE9478}">
      <formula1>0</formula1>
    </dataValidation>
    <dataValidation type="list" allowBlank="1" showInputMessage="1" showErrorMessage="1" sqref="J5" xr:uid="{637B2E10-82FC-45B5-A72E-B8C8474D1CD7}">
      <formula1>"ano,ne"</formula1>
    </dataValidation>
  </dataValidations>
  <hyperlinks>
    <hyperlink ref="B2" location="ROZCESTNIK!B3" display="← Zpět na úvodní stranu" xr:uid="{A9DCC0FD-182D-4261-B7F6-E7F9C9F0ADA2}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EC75F-5AEA-42D4-8818-595F390EC5F2}">
  <sheetPr codeName="List71"/>
  <dimension ref="B1:Q14"/>
  <sheetViews>
    <sheetView workbookViewId="0">
      <selection activeCell="O5" activeCellId="2" sqref="B2 D5:D13 O5"/>
    </sheetView>
  </sheetViews>
  <sheetFormatPr defaultRowHeight="15" x14ac:dyDescent="0.25"/>
  <cols>
    <col min="1" max="1" width="1.7109375" style="1" customWidth="1"/>
    <col min="2" max="3" width="30.7109375" style="1" customWidth="1"/>
    <col min="4" max="7" width="16.7109375" style="1" customWidth="1"/>
    <col min="8" max="8" width="1.7109375" style="4" customWidth="1"/>
    <col min="9" max="9" width="16.7109375" style="1" customWidth="1"/>
    <col min="10" max="10" width="1.7109375" style="1" customWidth="1"/>
    <col min="11" max="11" width="16.7109375" style="41" customWidth="1"/>
    <col min="12" max="12" width="1.7109375" style="41" customWidth="1"/>
    <col min="13" max="13" width="16.7109375" style="41" customWidth="1"/>
    <col min="14" max="14" width="1.7109375" style="41" customWidth="1"/>
    <col min="15" max="15" width="16.7109375" style="41" customWidth="1"/>
    <col min="16" max="16" width="1.7109375" style="4" customWidth="1"/>
    <col min="17" max="17" width="64.28515625" style="1" bestFit="1" customWidth="1"/>
    <col min="18" max="16384" width="9.140625" style="1"/>
  </cols>
  <sheetData>
    <row r="1" spans="2:17" ht="8.1" customHeight="1" x14ac:dyDescent="0.25"/>
    <row r="2" spans="2:17" x14ac:dyDescent="0.25">
      <c r="B2" s="53" t="s">
        <v>345</v>
      </c>
    </row>
    <row r="3" spans="2:17" ht="8.1" customHeight="1" x14ac:dyDescent="0.25"/>
    <row r="4" spans="2:17" ht="30" customHeight="1" x14ac:dyDescent="0.25">
      <c r="B4" s="12" t="s">
        <v>0</v>
      </c>
      <c r="C4" s="12" t="s">
        <v>1</v>
      </c>
      <c r="D4" s="19" t="s">
        <v>346</v>
      </c>
      <c r="E4" s="12" t="s">
        <v>402</v>
      </c>
      <c r="F4" s="13" t="s">
        <v>23</v>
      </c>
      <c r="G4" s="12" t="s">
        <v>401</v>
      </c>
      <c r="I4" s="12" t="s">
        <v>347</v>
      </c>
      <c r="K4" s="47" t="s">
        <v>2</v>
      </c>
      <c r="L4" s="42"/>
      <c r="M4" s="43" t="s">
        <v>383</v>
      </c>
      <c r="O4" s="44" t="s">
        <v>350</v>
      </c>
      <c r="Q4" s="39" t="s">
        <v>411</v>
      </c>
    </row>
    <row r="5" spans="2:17" x14ac:dyDescent="0.25">
      <c r="B5" s="2" t="s">
        <v>51</v>
      </c>
      <c r="C5" s="2" t="str">
        <f>INDEX(DB_PODPOR!$K:$K,MATCH(ANC!$H5,DB_PODPOR!$B:$B,0))</f>
        <v>H1 - živočišná výroba</v>
      </c>
      <c r="D5" s="51">
        <v>0</v>
      </c>
      <c r="E5" s="3">
        <f ca="1">IF(ROZCESTNIK!$F$3="EUR",IFERROR((INDEX(DB_PODPOR!$F:$F,MATCH($H5,DB_PODPOR!$B:$B,0))/ROZCESTNIK!$I$3),$F5),INDEX(DB_PODPOR!$F:$F,MATCH($H5,DB_PODPOR!$B:$B,0)))</f>
        <v>216</v>
      </c>
      <c r="F5" s="3">
        <f>IF(ROZCESTNIK!$F$3="EUR",INDEX(DB_PODPOR!$E:$E,MATCH($H5,DB_PODPOR!$B:$B,0)),INDEX(DB_PODPOR!$D:$D,MATCH($H5,DB_PODPOR!$B:$B,0)))</f>
        <v>216</v>
      </c>
      <c r="G5" s="36" t="str">
        <f>ROZCESTNIK!$F$3</f>
        <v>EUR</v>
      </c>
      <c r="H5" s="4" t="str">
        <f>CONCATENATE($P6,"_"&amp;$P$5)</f>
        <v>H1_ZV</v>
      </c>
      <c r="I5" s="3" t="str">
        <f>IF($D5&gt;0,$D5*$E5,"–")</f>
        <v>–</v>
      </c>
      <c r="K5" s="46" t="str">
        <f ca="1">IF(SUM(ANC_plocha_zdroj)=0,"–",SUMPRODUCT(ANC_plocha_zdroj,ANC_sazba_zdroj))</f>
        <v>–</v>
      </c>
      <c r="L5" s="45"/>
      <c r="M5" s="46">
        <f>SUM($D$5:$D$13)</f>
        <v>0</v>
      </c>
      <c r="O5" s="55" t="s">
        <v>352</v>
      </c>
      <c r="P5" s="4" t="str">
        <f>INDEX($O$7:$O$8,MATCH($O$5,$K$7:$K$8,0))</f>
        <v>ZV</v>
      </c>
      <c r="Q5" s="2" t="s">
        <v>414</v>
      </c>
    </row>
    <row r="6" spans="2:17" x14ac:dyDescent="0.25">
      <c r="B6" s="2" t="s">
        <v>51</v>
      </c>
      <c r="C6" s="2" t="str">
        <f>INDEX(DB_PODPOR!$K:$K,MATCH(ANC!$H6,DB_PODPOR!$B:$B,0))</f>
        <v>H2 - živočišná výroba</v>
      </c>
      <c r="D6" s="51">
        <v>0</v>
      </c>
      <c r="E6" s="3">
        <f ca="1">IF(ROZCESTNIK!$F$3="EUR",IFERROR((INDEX(DB_PODPOR!$F:$F,MATCH($H6,DB_PODPOR!$B:$B,0))/ROZCESTNIK!$I$3),$F6),INDEX(DB_PODPOR!$F:$F,MATCH($H6,DB_PODPOR!$B:$B,0)))</f>
        <v>203</v>
      </c>
      <c r="F6" s="3">
        <f>IF(ROZCESTNIK!$F$3="EUR",INDEX(DB_PODPOR!$E:$E,MATCH($H6,DB_PODPOR!$B:$B,0)),INDEX(DB_PODPOR!$D:$D,MATCH($H6,DB_PODPOR!$B:$B,0)))</f>
        <v>203</v>
      </c>
      <c r="G6" s="36" t="str">
        <f>ROZCESTNIK!$F$3</f>
        <v>EUR</v>
      </c>
      <c r="H6" s="4" t="str">
        <f t="shared" ref="H6:H13" si="0">CONCATENATE($P7,"_"&amp;$P$5)</f>
        <v>H2_ZV</v>
      </c>
      <c r="I6" s="3" t="str">
        <f t="shared" ref="I6:I13" si="1">IF($D6&gt;0,$D6*$E6,"–")</f>
        <v>–</v>
      </c>
      <c r="O6" s="48" t="str">
        <f>INDEX($M$7:$M$8,MATCH($O$5,$K$7:$K$8,0))</f>
        <v>&gt;=0,3 VDJ/ha</v>
      </c>
      <c r="P6" s="4" t="s">
        <v>105</v>
      </c>
      <c r="Q6" s="2" t="s">
        <v>414</v>
      </c>
    </row>
    <row r="7" spans="2:17" x14ac:dyDescent="0.25">
      <c r="B7" s="2" t="s">
        <v>51</v>
      </c>
      <c r="C7" s="2" t="str">
        <f>INDEX(DB_PODPOR!$K:$K,MATCH(ANC!$H7,DB_PODPOR!$B:$B,0))</f>
        <v>H3 - živočišná výroba</v>
      </c>
      <c r="D7" s="51">
        <v>0</v>
      </c>
      <c r="E7" s="3">
        <f ca="1">IF(ROZCESTNIK!$F$3="EUR",IFERROR((INDEX(DB_PODPOR!$F:$F,MATCH($H7,DB_PODPOR!$B:$B,0))/ROZCESTNIK!$I$3),$F7),INDEX(DB_PODPOR!$F:$F,MATCH($H7,DB_PODPOR!$B:$B,0)))</f>
        <v>143</v>
      </c>
      <c r="F7" s="3">
        <f>IF(ROZCESTNIK!$F$3="EUR",INDEX(DB_PODPOR!$E:$E,MATCH($H7,DB_PODPOR!$B:$B,0)),INDEX(DB_PODPOR!$D:$D,MATCH($H7,DB_PODPOR!$B:$B,0)))</f>
        <v>143</v>
      </c>
      <c r="G7" s="36" t="str">
        <f>ROZCESTNIK!$F$3</f>
        <v>EUR</v>
      </c>
      <c r="H7" s="4" t="str">
        <f t="shared" si="0"/>
        <v>H3_ZV</v>
      </c>
      <c r="I7" s="3" t="str">
        <f t="shared" si="1"/>
        <v>–</v>
      </c>
      <c r="K7" s="4" t="s">
        <v>352</v>
      </c>
      <c r="L7" s="4"/>
      <c r="M7" s="4" t="s">
        <v>469</v>
      </c>
      <c r="N7" s="4"/>
      <c r="O7" s="4" t="s">
        <v>93</v>
      </c>
      <c r="P7" s="4" t="s">
        <v>109</v>
      </c>
      <c r="Q7" s="2" t="s">
        <v>414</v>
      </c>
    </row>
    <row r="8" spans="2:17" x14ac:dyDescent="0.25">
      <c r="B8" s="2" t="s">
        <v>51</v>
      </c>
      <c r="C8" s="2" t="str">
        <f>INDEX(DB_PODPOR!$K:$K,MATCH(ANC!$H8,DB_PODPOR!$B:$B,0))</f>
        <v>H4 - živočišná výroba</v>
      </c>
      <c r="D8" s="51">
        <v>0</v>
      </c>
      <c r="E8" s="3">
        <f ca="1">IF(ROZCESTNIK!$F$3="EUR",IFERROR((INDEX(DB_PODPOR!$F:$F,MATCH($H8,DB_PODPOR!$B:$B,0))/ROZCESTNIK!$I$3),$F8),INDEX(DB_PODPOR!$F:$F,MATCH($H8,DB_PODPOR!$B:$B,0)))</f>
        <v>173</v>
      </c>
      <c r="F8" s="3">
        <f>IF(ROZCESTNIK!$F$3="EUR",INDEX(DB_PODPOR!$E:$E,MATCH($H8,DB_PODPOR!$B:$B,0)),INDEX(DB_PODPOR!$D:$D,MATCH($H8,DB_PODPOR!$B:$B,0)))</f>
        <v>173</v>
      </c>
      <c r="G8" s="36" t="str">
        <f>ROZCESTNIK!$F$3</f>
        <v>EUR</v>
      </c>
      <c r="H8" s="4" t="str">
        <f t="shared" si="0"/>
        <v>H4_ZV</v>
      </c>
      <c r="I8" s="3" t="str">
        <f t="shared" si="1"/>
        <v>–</v>
      </c>
      <c r="K8" s="4" t="s">
        <v>351</v>
      </c>
      <c r="L8" s="4"/>
      <c r="M8" s="4" t="s">
        <v>470</v>
      </c>
      <c r="N8" s="4"/>
      <c r="O8" s="4" t="s">
        <v>353</v>
      </c>
      <c r="P8" s="4" t="s">
        <v>116</v>
      </c>
      <c r="Q8" s="2" t="s">
        <v>414</v>
      </c>
    </row>
    <row r="9" spans="2:17" x14ac:dyDescent="0.25">
      <c r="B9" s="2" t="s">
        <v>51</v>
      </c>
      <c r="C9" s="2" t="str">
        <f>INDEX(DB_PODPOR!$K:$K,MATCH(ANC!$H9,DB_PODPOR!$B:$B,0))</f>
        <v>H5 - živočišná výroba</v>
      </c>
      <c r="D9" s="51">
        <v>0</v>
      </c>
      <c r="E9" s="3">
        <f ca="1">IF(ROZCESTNIK!$F$3="EUR",IFERROR((INDEX(DB_PODPOR!$F:$F,MATCH($H9,DB_PODPOR!$B:$B,0))/ROZCESTNIK!$I$3),$F9),INDEX(DB_PODPOR!$F:$F,MATCH($H9,DB_PODPOR!$B:$B,0)))</f>
        <v>130</v>
      </c>
      <c r="F9" s="3">
        <f>IF(ROZCESTNIK!$F$3="EUR",INDEX(DB_PODPOR!$E:$E,MATCH($H9,DB_PODPOR!$B:$B,0)),INDEX(DB_PODPOR!$D:$D,MATCH($H9,DB_PODPOR!$B:$B,0)))</f>
        <v>130</v>
      </c>
      <c r="G9" s="36" t="str">
        <f>ROZCESTNIK!$F$3</f>
        <v>EUR</v>
      </c>
      <c r="H9" s="4" t="str">
        <f t="shared" si="0"/>
        <v>H5_ZV</v>
      </c>
      <c r="I9" s="3" t="str">
        <f t="shared" si="1"/>
        <v>–</v>
      </c>
      <c r="P9" s="4" t="s">
        <v>113</v>
      </c>
      <c r="Q9" s="2" t="s">
        <v>414</v>
      </c>
    </row>
    <row r="10" spans="2:17" x14ac:dyDescent="0.25">
      <c r="B10" s="2" t="s">
        <v>51</v>
      </c>
      <c r="C10" s="2" t="str">
        <f>INDEX(DB_PODPOR!$K:$K,MATCH(ANC!$H10,DB_PODPOR!$B:$B,0))</f>
        <v>O1 - živočišná výroba</v>
      </c>
      <c r="D10" s="51">
        <v>0</v>
      </c>
      <c r="E10" s="3">
        <f ca="1">IF(ROZCESTNIK!$F$3="EUR",IFERROR((INDEX(DB_PODPOR!$F:$F,MATCH($H10,DB_PODPOR!$B:$B,0))/ROZCESTNIK!$I$3),$F10),INDEX(DB_PODPOR!$F:$F,MATCH($H10,DB_PODPOR!$B:$B,0)))</f>
        <v>126</v>
      </c>
      <c r="F10" s="3">
        <f>IF(ROZCESTNIK!$F$3="EUR",INDEX(DB_PODPOR!$E:$E,MATCH($H10,DB_PODPOR!$B:$B,0)),INDEX(DB_PODPOR!$D:$D,MATCH($H10,DB_PODPOR!$B:$B,0)))</f>
        <v>126</v>
      </c>
      <c r="G10" s="36" t="str">
        <f>ROZCESTNIK!$F$3</f>
        <v>EUR</v>
      </c>
      <c r="H10" s="4" t="str">
        <f t="shared" si="0"/>
        <v>O1_ZV</v>
      </c>
      <c r="I10" s="3" t="str">
        <f t="shared" si="1"/>
        <v>–</v>
      </c>
      <c r="P10" s="4" t="s">
        <v>119</v>
      </c>
      <c r="Q10" s="2" t="s">
        <v>415</v>
      </c>
    </row>
    <row r="11" spans="2:17" x14ac:dyDescent="0.25">
      <c r="B11" s="2" t="s">
        <v>51</v>
      </c>
      <c r="C11" s="2" t="str">
        <f>INDEX(DB_PODPOR!$K:$K,MATCH(ANC!$H11,DB_PODPOR!$B:$B,0))</f>
        <v>O2 - živočišná výroba</v>
      </c>
      <c r="D11" s="51">
        <v>0</v>
      </c>
      <c r="E11" s="3">
        <f ca="1">IF(ROZCESTNIK!$F$3="EUR",IFERROR((INDEX(DB_PODPOR!$F:$F,MATCH($H11,DB_PODPOR!$B:$B,0))/ROZCESTNIK!$I$3),$F11),INDEX(DB_PODPOR!$F:$F,MATCH($H11,DB_PODPOR!$B:$B,0)))</f>
        <v>99</v>
      </c>
      <c r="F11" s="3">
        <f>IF(ROZCESTNIK!$F$3="EUR",INDEX(DB_PODPOR!$E:$E,MATCH($H11,DB_PODPOR!$B:$B,0)),INDEX(DB_PODPOR!$D:$D,MATCH($H11,DB_PODPOR!$B:$B,0)))</f>
        <v>99</v>
      </c>
      <c r="G11" s="36" t="str">
        <f>ROZCESTNIK!$F$3</f>
        <v>EUR</v>
      </c>
      <c r="H11" s="4" t="str">
        <f t="shared" si="0"/>
        <v>O2_ZV</v>
      </c>
      <c r="I11" s="3" t="str">
        <f t="shared" si="1"/>
        <v>–</v>
      </c>
      <c r="P11" s="4" t="s">
        <v>123</v>
      </c>
      <c r="Q11" s="2" t="s">
        <v>415</v>
      </c>
    </row>
    <row r="12" spans="2:17" x14ac:dyDescent="0.25">
      <c r="B12" s="2" t="s">
        <v>51</v>
      </c>
      <c r="C12" s="2" t="str">
        <f>INDEX(DB_PODPOR!$K:$K,MATCH(ANC!$H12,DB_PODPOR!$B:$B,0))</f>
        <v>O3 - živočišná výroba</v>
      </c>
      <c r="D12" s="51">
        <v>0</v>
      </c>
      <c r="E12" s="3">
        <f ca="1">IF(ROZCESTNIK!$F$3="EUR",IFERROR((INDEX(DB_PODPOR!$F:$F,MATCH($H12,DB_PODPOR!$B:$B,0))/ROZCESTNIK!$I$3),$F12),INDEX(DB_PODPOR!$F:$F,MATCH($H12,DB_PODPOR!$B:$B,0)))</f>
        <v>74</v>
      </c>
      <c r="F12" s="3">
        <f>IF(ROZCESTNIK!$F$3="EUR",INDEX(DB_PODPOR!$E:$E,MATCH($H12,DB_PODPOR!$B:$B,0)),INDEX(DB_PODPOR!$D:$D,MATCH($H12,DB_PODPOR!$B:$B,0)))</f>
        <v>74</v>
      </c>
      <c r="G12" s="36" t="str">
        <f>ROZCESTNIK!$F$3</f>
        <v>EUR</v>
      </c>
      <c r="H12" s="4" t="str">
        <f t="shared" si="0"/>
        <v>O3_ZV</v>
      </c>
      <c r="I12" s="3" t="str">
        <f t="shared" si="1"/>
        <v>–</v>
      </c>
      <c r="P12" s="4" t="s">
        <v>128</v>
      </c>
      <c r="Q12" s="2" t="s">
        <v>415</v>
      </c>
    </row>
    <row r="13" spans="2:17" x14ac:dyDescent="0.25">
      <c r="B13" s="2" t="s">
        <v>51</v>
      </c>
      <c r="C13" s="2" t="str">
        <f>INDEX(DB_PODPOR!$K:$K,MATCH(ANC!$H13,DB_PODPOR!$B:$B,0))</f>
        <v>S - živočišná výroba</v>
      </c>
      <c r="D13" s="51">
        <v>0</v>
      </c>
      <c r="E13" s="3">
        <f ca="1">IF(ROZCESTNIK!$F$3="EUR",IFERROR((INDEX(DB_PODPOR!$F:$F,MATCH($H13,DB_PODPOR!$B:$B,0))/ROZCESTNIK!$I$3),$F13),INDEX(DB_PODPOR!$F:$F,MATCH($H13,DB_PODPOR!$B:$B,0)))</f>
        <v>65</v>
      </c>
      <c r="F13" s="3">
        <f>IF(ROZCESTNIK!$F$3="EUR",INDEX(DB_PODPOR!$E:$E,MATCH($H13,DB_PODPOR!$B:$B,0)),INDEX(DB_PODPOR!$D:$D,MATCH($H13,DB_PODPOR!$B:$B,0)))</f>
        <v>65</v>
      </c>
      <c r="G13" s="36" t="str">
        <f>ROZCESTNIK!$F$3</f>
        <v>EUR</v>
      </c>
      <c r="H13" s="4" t="str">
        <f t="shared" si="0"/>
        <v>S_ZV</v>
      </c>
      <c r="I13" s="3" t="str">
        <f t="shared" si="1"/>
        <v>–</v>
      </c>
      <c r="P13" s="4" t="s">
        <v>132</v>
      </c>
      <c r="Q13" s="2" t="s">
        <v>416</v>
      </c>
    </row>
    <row r="14" spans="2:17" x14ac:dyDescent="0.25">
      <c r="B14" s="7" t="s">
        <v>51</v>
      </c>
      <c r="P14" s="4" t="s">
        <v>137</v>
      </c>
    </row>
  </sheetData>
  <sheetProtection algorithmName="SHA-512" hashValue="7XB2/o1rcPmlaVWbkgvQOv2/5ld705cLYm87afhLjn9m6HaLhyx0mTES6sjB7be95gknf8XTtulagUD5FhIPUA==" saltValue="z05CCUik2pg8Lt8ybcaGkA==" spinCount="100000" sheet="1" objects="1" scenarios="1" selectLockedCells="1"/>
  <conditionalFormatting sqref="D5:D13">
    <cfRule type="expression" dxfId="30" priority="5">
      <formula>$D5=0</formula>
    </cfRule>
  </conditionalFormatting>
  <conditionalFormatting sqref="D4">
    <cfRule type="expression" dxfId="29" priority="4">
      <formula>COUNTIF(ANC_plocha_zdroj,0)=COUNTA(ANC_titul_zdroj)</formula>
    </cfRule>
  </conditionalFormatting>
  <dataValidations count="2">
    <dataValidation type="list" allowBlank="1" showInputMessage="1" showErrorMessage="1" sqref="O5" xr:uid="{9B627143-949B-4990-B957-FF4CFE07C9B0}">
      <formula1>$K$7:$K$8</formula1>
    </dataValidation>
    <dataValidation type="decimal" operator="greaterThanOrEqual" allowBlank="1" showInputMessage="1" showErrorMessage="1" promptTitle="Zadání číselné hodnoty" prompt="Lze zadat pouze číselnou hodnotu._x000a__x000a_Součet udávaných výměr nesmí být vyšší než celková výměra zapsaná na listu SAPS." sqref="D5:D13" xr:uid="{19C196E1-AE1C-4840-A6BB-579148489F71}">
      <formula1>0</formula1>
    </dataValidation>
  </dataValidations>
  <hyperlinks>
    <hyperlink ref="B2" location="ROZCESTNIK!B3" display="← Zpět na úvodní stranu" xr:uid="{D524947D-0681-43B8-98DB-BCB2EE2ABD41}"/>
  </hyperlink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DD13CA2-8214-4EB1-B85F-F806CBA72F95}">
            <xm:f>SUM($D$5:$D$15)&gt;SAPS!$D$5</xm:f>
            <x14:dxf>
              <font>
                <color rgb="FFCC0000"/>
              </font>
              <fill>
                <patternFill>
                  <bgColor theme="7" tint="0.39994506668294322"/>
                </patternFill>
              </fill>
              <border>
                <left style="thin">
                  <color rgb="FFCC0000"/>
                </left>
                <right style="thin">
                  <color rgb="FFCC0000"/>
                </right>
                <top style="thin">
                  <color rgb="FFCC0000"/>
                </top>
                <bottom style="thin">
                  <color rgb="FFCC0000"/>
                </bottom>
                <vertical/>
                <horizontal/>
              </border>
            </x14:dxf>
          </x14:cfRule>
          <xm:sqref>M5</xm:sqref>
        </x14:conditionalFormatting>
        <x14:conditionalFormatting xmlns:xm="http://schemas.microsoft.com/office/excel/2006/main">
          <x14:cfRule type="expression" priority="2" id="{7771002C-5403-44F9-A12D-5819B8D2BB0C}">
            <xm:f>$D5&gt;SAPS!$D$5</xm:f>
            <x14:dxf>
              <font>
                <color rgb="FFCC0000"/>
              </font>
              <fill>
                <patternFill>
                  <bgColor theme="7" tint="0.39994506668294322"/>
                </patternFill>
              </fill>
              <border>
                <left style="thin">
                  <color rgb="FFCC0000"/>
                </left>
                <right style="thin">
                  <color rgb="FFCC0000"/>
                </right>
                <top style="thin">
                  <color rgb="FFCC0000"/>
                </top>
                <bottom style="thin">
                  <color rgb="FFCC0000"/>
                </bottom>
                <vertical/>
                <horizontal/>
              </border>
            </x14:dxf>
          </x14:cfRule>
          <xm:sqref>D5 D6 D7 D8 D9 D10 D11 D12 D13</xm:sqref>
        </x14:conditionalFormatting>
        <x14:conditionalFormatting xmlns:xm="http://schemas.microsoft.com/office/excel/2006/main">
          <x14:cfRule type="expression" priority="1" id="{305FB947-4BB6-4CAC-A9F6-6755C55F3D11}">
            <xm:f>$M$5&gt;SAPS!$D$5</xm:f>
            <x14:dxf>
              <font>
                <b/>
                <i val="0"/>
                <color rgb="FFFFFF66"/>
              </font>
              <fill>
                <patternFill>
                  <bgColor rgb="FFFF9900"/>
                </patternFill>
              </fill>
              <border>
                <left style="thin">
                  <color rgb="FFCC0000"/>
                </left>
                <right style="thin">
                  <color rgb="FFCC0000"/>
                </right>
                <top style="thin">
                  <color rgb="FFCC0000"/>
                </top>
                <bottom style="thin">
                  <color rgb="FFCC0000"/>
                </bottom>
                <vertical/>
                <horizontal/>
              </border>
            </x14:dxf>
          </x14:cfRule>
          <xm:sqref>M4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whole" errorStyle="warning" operator="greaterThan" allowBlank="1" showInputMessage="1" showErrorMessage="1" errorTitle="Kontrola" error="Zkontrolujte zadané výměry v jednotlivých titulech!" promptTitle="Zadání číselných hodnot" prompt="Součet udávaných výměr nesmí být vyšší než celková výměra zapsaná na listu SAPS." xr:uid="{59905A84-EE30-4FD4-835B-42E59E565E75}">
          <x14:formula1>
            <xm:f>SAPS!F5</xm:f>
          </x14:formula1>
          <xm:sqref>M5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E9EFF-2650-4C41-8D27-15DAF94A110D}">
  <sheetPr codeName="List8"/>
  <dimension ref="B1:L15"/>
  <sheetViews>
    <sheetView zoomScaleNormal="100" workbookViewId="0">
      <selection activeCell="B2" activeCellId="1" sqref="D5:D14 B2"/>
    </sheetView>
  </sheetViews>
  <sheetFormatPr defaultRowHeight="15" x14ac:dyDescent="0.25"/>
  <cols>
    <col min="1" max="1" width="1.7109375" style="1" customWidth="1"/>
    <col min="2" max="2" width="42.7109375" style="1" customWidth="1"/>
    <col min="3" max="3" width="53.42578125" style="1" bestFit="1" customWidth="1"/>
    <col min="4" max="6" width="16.7109375" style="1" customWidth="1"/>
    <col min="7" max="7" width="1.7109375" style="1" customWidth="1"/>
    <col min="8" max="8" width="16.7109375" style="1" customWidth="1"/>
    <col min="9" max="9" width="1.7109375" style="1" customWidth="1"/>
    <col min="10" max="10" width="16.7109375" style="1" customWidth="1"/>
    <col min="11" max="11" width="1.7109375" style="1" customWidth="1"/>
    <col min="12" max="12" width="169.140625" style="1" bestFit="1" customWidth="1"/>
    <col min="13" max="16384" width="9.140625" style="1"/>
  </cols>
  <sheetData>
    <row r="1" spans="2:12" ht="8.1" customHeight="1" x14ac:dyDescent="0.25"/>
    <row r="2" spans="2:12" x14ac:dyDescent="0.25">
      <c r="B2" s="53" t="s">
        <v>345</v>
      </c>
    </row>
    <row r="3" spans="2:12" ht="8.1" customHeight="1" x14ac:dyDescent="0.25"/>
    <row r="4" spans="2:12" ht="30" customHeight="1" x14ac:dyDescent="0.25">
      <c r="B4" s="12" t="s">
        <v>0</v>
      </c>
      <c r="C4" s="12" t="s">
        <v>1</v>
      </c>
      <c r="D4" s="19" t="s">
        <v>346</v>
      </c>
      <c r="E4" s="12" t="s">
        <v>23</v>
      </c>
      <c r="F4" s="12" t="s">
        <v>401</v>
      </c>
      <c r="H4" s="13" t="s">
        <v>347</v>
      </c>
      <c r="J4" s="13" t="s">
        <v>2</v>
      </c>
      <c r="L4" s="39" t="s">
        <v>411</v>
      </c>
    </row>
    <row r="5" spans="2:12" x14ac:dyDescent="0.25">
      <c r="B5" s="2" t="s">
        <v>12</v>
      </c>
      <c r="C5" s="2" t="str">
        <f>INDEX(DB_PODPOR!$K:$K,MATCH(AEKO_ZATR!$G5,DB_PODPOR!$B:$B,0))</f>
        <v>Zatravňování běžnou směsí</v>
      </c>
      <c r="D5" s="51">
        <v>0</v>
      </c>
      <c r="E5" s="3">
        <f>IF(ROZCESTNIK!$F$3="EUR",INDEX(DB_PODPOR!$E:$E,MATCH($G5,DB_PODPOR!$B:$B,0)),INDEX(DB_PODPOR!$D:$D,MATCH($G5,DB_PODPOR!$B:$B,0)))</f>
        <v>312</v>
      </c>
      <c r="F5" s="36" t="str">
        <f>ROZCESTNIK!$F$3</f>
        <v>EUR</v>
      </c>
      <c r="G5" s="4" t="s">
        <v>179</v>
      </c>
      <c r="H5" s="3" t="str">
        <f t="shared" ref="H5:H14" si="0">IF($D5&gt;0,$D5*$E5,"–")</f>
        <v>–</v>
      </c>
      <c r="J5" s="3" t="str">
        <f ca="1">IF(SUM(AEKO_ZATR_plocha_zdroj)=0,"–",SUMPRODUCT(AEKO_ZATR_plocha_zdroj,AEKO_ZATR_sazba_zdroj))</f>
        <v>–</v>
      </c>
      <c r="L5" s="2" t="s">
        <v>417</v>
      </c>
    </row>
    <row r="6" spans="2:12" x14ac:dyDescent="0.25">
      <c r="B6" s="2" t="s">
        <v>12</v>
      </c>
      <c r="C6" s="2" t="str">
        <f>INDEX(DB_PODPOR!$K:$K,MATCH(AEKO_ZATR!$G6,DB_PODPOR!$B:$B,0))</f>
        <v>Zatravňování druhově bohatou směsí</v>
      </c>
      <c r="D6" s="51">
        <v>0</v>
      </c>
      <c r="E6" s="3">
        <f>IF(ROZCESTNIK!$F$3="EUR",INDEX(DB_PODPOR!$E:$E,MATCH($G6,DB_PODPOR!$B:$B,0)),INDEX(DB_PODPOR!$D:$D,MATCH($G6,DB_PODPOR!$B:$B,0)))</f>
        <v>348</v>
      </c>
      <c r="F6" s="36" t="str">
        <f>ROZCESTNIK!$F$3</f>
        <v>EUR</v>
      </c>
      <c r="G6" s="4" t="s">
        <v>182</v>
      </c>
      <c r="H6" s="3" t="str">
        <f t="shared" si="0"/>
        <v>–</v>
      </c>
      <c r="L6" s="2" t="s">
        <v>418</v>
      </c>
    </row>
    <row r="7" spans="2:12" x14ac:dyDescent="0.25">
      <c r="B7" s="2" t="s">
        <v>12</v>
      </c>
      <c r="C7" s="2" t="str">
        <f>INDEX(DB_PODPOR!$K:$K,MATCH(AEKO_ZATR!$G7,DB_PODPOR!$B:$B,0))</f>
        <v>Zatravňování regionální směsí 1 rok</v>
      </c>
      <c r="D7" s="51">
        <v>0</v>
      </c>
      <c r="E7" s="3">
        <f>IF(ROZCESTNIK!$F$3="EUR",INDEX(DB_PODPOR!$E:$E,MATCH($G7,DB_PODPOR!$B:$B,0)),INDEX(DB_PODPOR!$D:$D,MATCH($G7,DB_PODPOR!$B:$B,0)))</f>
        <v>1114</v>
      </c>
      <c r="F7" s="36" t="str">
        <f>ROZCESTNIK!$F$3</f>
        <v>EUR</v>
      </c>
      <c r="G7" s="4" t="s">
        <v>184</v>
      </c>
      <c r="H7" s="3" t="str">
        <f t="shared" si="0"/>
        <v>–</v>
      </c>
      <c r="L7" s="2" t="s">
        <v>419</v>
      </c>
    </row>
    <row r="8" spans="2:12" x14ac:dyDescent="0.25">
      <c r="B8" s="2" t="s">
        <v>12</v>
      </c>
      <c r="C8" s="2" t="str">
        <f>INDEX(DB_PODPOR!$K:$K,MATCH(AEKO_ZATR!$G8,DB_PODPOR!$B:$B,0))</f>
        <v>Zatravňování regionální směsí n let</v>
      </c>
      <c r="D8" s="51">
        <v>0</v>
      </c>
      <c r="E8" s="3">
        <f>IF(ROZCESTNIK!$F$3="EUR",INDEX(DB_PODPOR!$E:$E,MATCH($G8,DB_PODPOR!$B:$B,0)),INDEX(DB_PODPOR!$D:$D,MATCH($G8,DB_PODPOR!$B:$B,0)))</f>
        <v>237</v>
      </c>
      <c r="F8" s="36" t="str">
        <f>ROZCESTNIK!$F$3</f>
        <v>EUR</v>
      </c>
      <c r="G8" s="4" t="s">
        <v>187</v>
      </c>
      <c r="H8" s="3" t="str">
        <f t="shared" si="0"/>
        <v>–</v>
      </c>
      <c r="L8" s="2" t="s">
        <v>420</v>
      </c>
    </row>
    <row r="9" spans="2:12" x14ac:dyDescent="0.25">
      <c r="B9" s="2" t="s">
        <v>12</v>
      </c>
      <c r="C9" s="2" t="str">
        <f>INDEX(DB_PODPOR!$K:$K,MATCH(AEKO_ZATR!$G9,DB_PODPOR!$B:$B,0))</f>
        <v>Zatravňování podél vodních toků běžnou směsí</v>
      </c>
      <c r="D9" s="51">
        <v>0</v>
      </c>
      <c r="E9" s="3">
        <f>IF(ROZCESTNIK!$F$3="EUR",INDEX(DB_PODPOR!$E:$E,MATCH($G9,DB_PODPOR!$B:$B,0)),INDEX(DB_PODPOR!$D:$D,MATCH($G9,DB_PODPOR!$B:$B,0)))</f>
        <v>337</v>
      </c>
      <c r="F9" s="36" t="str">
        <f>ROZCESTNIK!$F$3</f>
        <v>EUR</v>
      </c>
      <c r="G9" s="4" t="s">
        <v>189</v>
      </c>
      <c r="H9" s="3" t="str">
        <f t="shared" si="0"/>
        <v>–</v>
      </c>
      <c r="L9" s="2" t="s">
        <v>421</v>
      </c>
    </row>
    <row r="10" spans="2:12" x14ac:dyDescent="0.25">
      <c r="B10" s="2" t="s">
        <v>12</v>
      </c>
      <c r="C10" s="2" t="str">
        <f>INDEX(DB_PODPOR!$K:$K,MATCH(AEKO_ZATR!$G10,DB_PODPOR!$B:$B,0))</f>
        <v>Zatravňování podél vodních toků druhově bohatou směsí</v>
      </c>
      <c r="D10" s="51">
        <v>0</v>
      </c>
      <c r="E10" s="3">
        <f>IF(ROZCESTNIK!$F$3="EUR",INDEX(DB_PODPOR!$E:$E,MATCH($G10,DB_PODPOR!$B:$B,0)),INDEX(DB_PODPOR!$D:$D,MATCH($G10,DB_PODPOR!$B:$B,0)))</f>
        <v>390</v>
      </c>
      <c r="F10" s="36" t="str">
        <f>ROZCESTNIK!$F$3</f>
        <v>EUR</v>
      </c>
      <c r="G10" s="4" t="s">
        <v>190</v>
      </c>
      <c r="H10" s="3" t="str">
        <f t="shared" si="0"/>
        <v>–</v>
      </c>
      <c r="L10" s="2" t="s">
        <v>422</v>
      </c>
    </row>
    <row r="11" spans="2:12" x14ac:dyDescent="0.25">
      <c r="B11" s="2" t="s">
        <v>12</v>
      </c>
      <c r="C11" s="2" t="str">
        <f>INDEX(DB_PODPOR!$K:$K,MATCH(AEKO_ZATR!$G11,DB_PODPOR!$B:$B,0))</f>
        <v>Zatravňování podél vodních toků regionální směsí 1 rok</v>
      </c>
      <c r="D11" s="51">
        <v>0</v>
      </c>
      <c r="E11" s="3">
        <f>IF(ROZCESTNIK!$F$3="EUR",INDEX(DB_PODPOR!$E:$E,MATCH($G11,DB_PODPOR!$B:$B,0)),INDEX(DB_PODPOR!$D:$D,MATCH($G11,DB_PODPOR!$B:$B,0)))</f>
        <v>1136</v>
      </c>
      <c r="F11" s="36" t="str">
        <f>ROZCESTNIK!$F$3</f>
        <v>EUR</v>
      </c>
      <c r="G11" s="4" t="s">
        <v>191</v>
      </c>
      <c r="H11" s="3" t="str">
        <f t="shared" si="0"/>
        <v>–</v>
      </c>
      <c r="L11" s="2" t="s">
        <v>423</v>
      </c>
    </row>
    <row r="12" spans="2:12" x14ac:dyDescent="0.25">
      <c r="B12" s="2" t="s">
        <v>12</v>
      </c>
      <c r="C12" s="2" t="str">
        <f>INDEX(DB_PODPOR!$K:$K,MATCH(AEKO_ZATR!$G12,DB_PODPOR!$B:$B,0))</f>
        <v>Zatravňování podél vodních toků regionální směsí n let</v>
      </c>
      <c r="D12" s="51">
        <v>0</v>
      </c>
      <c r="E12" s="3">
        <f>IF(ROZCESTNIK!$F$3="EUR",INDEX(DB_PODPOR!$E:$E,MATCH($G12,DB_PODPOR!$B:$B,0)),INDEX(DB_PODPOR!$D:$D,MATCH($G12,DB_PODPOR!$B:$B,0)))</f>
        <v>259</v>
      </c>
      <c r="F12" s="36" t="str">
        <f>ROZCESTNIK!$F$3</f>
        <v>EUR</v>
      </c>
      <c r="G12" s="4" t="s">
        <v>192</v>
      </c>
      <c r="H12" s="3" t="str">
        <f t="shared" si="0"/>
        <v>–</v>
      </c>
      <c r="L12" s="2" t="s">
        <v>424</v>
      </c>
    </row>
    <row r="13" spans="2:12" x14ac:dyDescent="0.25">
      <c r="B13" s="2" t="s">
        <v>12</v>
      </c>
      <c r="C13" s="2" t="str">
        <f>INDEX(DB_PODPOR!$K:$K,MATCH(AEKO_ZATR!$G13,DB_PODPOR!$B:$B,0))</f>
        <v>Infiltrační oblasti</v>
      </c>
      <c r="D13" s="51">
        <v>0</v>
      </c>
      <c r="E13" s="3">
        <f>IF(ROZCESTNIK!$F$3="EUR",INDEX(DB_PODPOR!$E:$E,MATCH($G13,DB_PODPOR!$B:$B,0)),INDEX(DB_PODPOR!$D:$D,MATCH($G13,DB_PODPOR!$B:$B,0)))</f>
        <v>312</v>
      </c>
      <c r="F13" s="36" t="str">
        <f>ROZCESTNIK!$F$3</f>
        <v>EUR</v>
      </c>
      <c r="G13" s="4" t="s">
        <v>384</v>
      </c>
      <c r="H13" s="3" t="str">
        <f t="shared" si="0"/>
        <v>–</v>
      </c>
      <c r="L13" s="2" t="s">
        <v>425</v>
      </c>
    </row>
    <row r="14" spans="2:12" x14ac:dyDescent="0.25">
      <c r="B14" s="2" t="s">
        <v>12</v>
      </c>
      <c r="C14" s="2" t="str">
        <f>INDEX(DB_PODPOR!$K:$K,MATCH(AEKO_ZATR!$G14,DB_PODPOR!$B:$B,0))</f>
        <v>Dráhy soustředěného odtoku</v>
      </c>
      <c r="D14" s="51">
        <v>0</v>
      </c>
      <c r="E14" s="3">
        <f>IF(ROZCESTNIK!$F$3="EUR",INDEX(DB_PODPOR!$E:$E,MATCH($G14,DB_PODPOR!$B:$B,0)),INDEX(DB_PODPOR!$D:$D,MATCH($G14,DB_PODPOR!$B:$B,0)))</f>
        <v>482</v>
      </c>
      <c r="F14" s="36" t="str">
        <f>ROZCESTNIK!$F$3</f>
        <v>EUR</v>
      </c>
      <c r="G14" s="4" t="s">
        <v>193</v>
      </c>
      <c r="H14" s="3" t="str">
        <f t="shared" si="0"/>
        <v>–</v>
      </c>
      <c r="L14" s="2" t="s">
        <v>426</v>
      </c>
    </row>
    <row r="15" spans="2:12" x14ac:dyDescent="0.25">
      <c r="B15" s="7" t="s">
        <v>12</v>
      </c>
    </row>
  </sheetData>
  <sheetProtection algorithmName="SHA-512" hashValue="H/rImXHimcWBRuSmaHHksztRGO8ykCUkzMdB5JplqECl5o0NsJUQ4P7W9v4LPssBEYrSuIwk78zQ7on8GMHQQg==" saltValue="1cL7ZHIWvywJK4BDsqvutg==" spinCount="100000" sheet="1" objects="1" scenarios="1" selectLockedCells="1"/>
  <conditionalFormatting sqref="D5:D14">
    <cfRule type="expression" dxfId="25" priority="3">
      <formula>$D5=0</formula>
    </cfRule>
  </conditionalFormatting>
  <conditionalFormatting sqref="D4">
    <cfRule type="expression" dxfId="24" priority="1">
      <formula>COUNTIF(AEKO_ZATR_plocha_zdroj,0)=COUNTA(AEKO_ZATR_titul_zdroj)</formula>
    </cfRule>
  </conditionalFormatting>
  <hyperlinks>
    <hyperlink ref="B2" location="ROZCESTNIK!B3" display="← Zpět na úvodní stranu" xr:uid="{09260551-ED7E-4310-B244-09320CCC3580}"/>
  </hyperlink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F168A-3622-4A4B-980F-72FDA45B076C}">
  <sheetPr codeName="List9"/>
  <dimension ref="B1:L14"/>
  <sheetViews>
    <sheetView zoomScaleNormal="100" workbookViewId="0">
      <selection activeCell="B2" activeCellId="1" sqref="D5:D6 B2"/>
    </sheetView>
  </sheetViews>
  <sheetFormatPr defaultRowHeight="15" x14ac:dyDescent="0.25"/>
  <cols>
    <col min="1" max="1" width="1.7109375" style="1" customWidth="1"/>
    <col min="2" max="3" width="42.7109375" style="1" customWidth="1"/>
    <col min="4" max="6" width="16.7109375" style="1" customWidth="1"/>
    <col min="7" max="7" width="1.7109375" style="1" customWidth="1"/>
    <col min="8" max="8" width="16.7109375" style="1" customWidth="1"/>
    <col min="9" max="9" width="1.7109375" style="1" customWidth="1"/>
    <col min="10" max="10" width="16.7109375" style="1" customWidth="1"/>
    <col min="11" max="11" width="1.7109375" style="1" customWidth="1"/>
    <col min="12" max="12" width="64.5703125" style="1" bestFit="1" customWidth="1"/>
    <col min="13" max="16384" width="9.140625" style="1"/>
  </cols>
  <sheetData>
    <row r="1" spans="2:12" ht="8.1" customHeight="1" x14ac:dyDescent="0.25"/>
    <row r="2" spans="2:12" x14ac:dyDescent="0.25">
      <c r="B2" s="53" t="s">
        <v>345</v>
      </c>
    </row>
    <row r="3" spans="2:12" ht="8.1" customHeight="1" x14ac:dyDescent="0.25"/>
    <row r="4" spans="2:12" ht="30" customHeight="1" x14ac:dyDescent="0.25">
      <c r="B4" s="12" t="s">
        <v>0</v>
      </c>
      <c r="C4" s="12" t="s">
        <v>1</v>
      </c>
      <c r="D4" s="19" t="s">
        <v>346</v>
      </c>
      <c r="E4" s="12" t="s">
        <v>23</v>
      </c>
      <c r="F4" s="12" t="s">
        <v>401</v>
      </c>
      <c r="H4" s="13" t="s">
        <v>347</v>
      </c>
      <c r="J4" s="13" t="s">
        <v>2</v>
      </c>
      <c r="L4" s="39" t="s">
        <v>411</v>
      </c>
    </row>
    <row r="5" spans="2:12" x14ac:dyDescent="0.25">
      <c r="B5" s="2" t="s">
        <v>62</v>
      </c>
      <c r="C5" s="2" t="str">
        <f>INDEX(DB_PODPOR!$K:$K,MATCH(AEKO_MEZIP!$G5,DB_PODPOR!$B:$B,0))</f>
        <v>Meziplodiny proti utužení orné půdy</v>
      </c>
      <c r="D5" s="51">
        <v>0</v>
      </c>
      <c r="E5" s="3">
        <f>IF(ROZCESTNIK!$F$3="EUR",INDEX(DB_PODPOR!$E:$E,MATCH($G5,DB_PODPOR!$B:$B,0)),INDEX(DB_PODPOR!$D:$D,MATCH($G5,DB_PODPOR!$B:$B,0)))</f>
        <v>152</v>
      </c>
      <c r="F5" s="36" t="str">
        <f>ROZCESTNIK!$F$3</f>
        <v>EUR</v>
      </c>
      <c r="G5" s="4" t="s">
        <v>354</v>
      </c>
      <c r="H5" s="3" t="str">
        <f>IF($D5&gt;0,$D5*$E5,"–")</f>
        <v>–</v>
      </c>
      <c r="J5" s="3" t="str">
        <f ca="1">IF(SUM(AEKO_MEZIP_plocha_zdroj)=0,"–",SUMPRODUCT(AEKO_MEZIP_plocha_zdroj,AEKO_MEZIP_sazba_zdroj))</f>
        <v>–</v>
      </c>
      <c r="L5" s="2" t="s">
        <v>427</v>
      </c>
    </row>
    <row r="6" spans="2:12" x14ac:dyDescent="0.25">
      <c r="B6" s="2" t="s">
        <v>62</v>
      </c>
      <c r="C6" s="2" t="str">
        <f>INDEX(DB_PODPOR!$K:$K,MATCH(AEKO_MEZIP!$G6,DB_PODPOR!$B:$B,0))</f>
        <v>Meziplodiny pro zlepšení struktury půdy</v>
      </c>
      <c r="D6" s="51">
        <v>0</v>
      </c>
      <c r="E6" s="3">
        <f>IF(ROZCESTNIK!$F$3="EUR",INDEX(DB_PODPOR!$E:$E,MATCH($G6,DB_PODPOR!$B:$B,0)),INDEX(DB_PODPOR!$D:$D,MATCH($G6,DB_PODPOR!$B:$B,0)))</f>
        <v>154</v>
      </c>
      <c r="F6" s="36" t="str">
        <f>ROZCESTNIK!$F$3</f>
        <v>EUR</v>
      </c>
      <c r="G6" s="4" t="s">
        <v>385</v>
      </c>
      <c r="H6" s="3" t="str">
        <f>IF($D6&gt;0,$D6*$E6,"–")</f>
        <v>–</v>
      </c>
      <c r="L6" s="2" t="s">
        <v>428</v>
      </c>
    </row>
    <row r="7" spans="2:12" x14ac:dyDescent="0.25">
      <c r="B7" s="7" t="s">
        <v>62</v>
      </c>
      <c r="L7" s="40"/>
    </row>
    <row r="8" spans="2:12" x14ac:dyDescent="0.25">
      <c r="L8" s="34"/>
    </row>
    <row r="9" spans="2:12" x14ac:dyDescent="0.25">
      <c r="L9" s="34"/>
    </row>
    <row r="10" spans="2:12" x14ac:dyDescent="0.25">
      <c r="L10" s="34"/>
    </row>
    <row r="11" spans="2:12" x14ac:dyDescent="0.25">
      <c r="L11" s="34"/>
    </row>
    <row r="12" spans="2:12" x14ac:dyDescent="0.25">
      <c r="L12" s="34"/>
    </row>
    <row r="13" spans="2:12" x14ac:dyDescent="0.25">
      <c r="L13" s="34"/>
    </row>
    <row r="14" spans="2:12" x14ac:dyDescent="0.25">
      <c r="L14" s="34"/>
    </row>
  </sheetData>
  <sheetProtection algorithmName="SHA-512" hashValue="6+dWEgt8uX0yn+2doWyh/cnUNRni0C2wY5lNFKQGBH8KSZw7F8Ese2xGuOu7Shr0IaS/j2pcU/hDQrnaC/mtZA==" saltValue="cCS7GA3UtNKQ7C8ouOOGtg==" spinCount="100000" sheet="1" objects="1" scenarios="1" selectLockedCells="1"/>
  <conditionalFormatting sqref="D5:D6">
    <cfRule type="expression" dxfId="23" priority="2">
      <formula>$D5=0</formula>
    </cfRule>
  </conditionalFormatting>
  <conditionalFormatting sqref="D4">
    <cfRule type="expression" dxfId="22" priority="1">
      <formula>COUNTIF(AEKO_MEZIP_plocha_zdroj,0)=COUNTA(AEKO_MEZIP_titul_zdroj)</formula>
    </cfRule>
  </conditionalFormatting>
  <hyperlinks>
    <hyperlink ref="B2" location="ROZCESTNIK!B3" display="← Zpět na úvodní stranu" xr:uid="{116F6E86-E2DA-4A2B-A722-1BFA067E7CC7}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828F4-DEC8-4C3F-86ED-5DD8050B7871}">
  <sheetPr codeName="List10"/>
  <dimension ref="B1:L28"/>
  <sheetViews>
    <sheetView zoomScaleNormal="100" workbookViewId="0">
      <selection activeCell="B2" activeCellId="1" sqref="D5:D28 B2"/>
    </sheetView>
  </sheetViews>
  <sheetFormatPr defaultRowHeight="15" x14ac:dyDescent="0.25"/>
  <cols>
    <col min="1" max="1" width="1.7109375" style="1" customWidth="1"/>
    <col min="2" max="3" width="50.7109375" style="1" customWidth="1"/>
    <col min="4" max="6" width="16.7109375" style="1" customWidth="1"/>
    <col min="7" max="7" width="1.7109375" style="4" customWidth="1"/>
    <col min="8" max="8" width="16.7109375" style="1" customWidth="1"/>
    <col min="9" max="9" width="1.7109375" style="1" customWidth="1"/>
    <col min="10" max="10" width="16.7109375" style="1" customWidth="1"/>
    <col min="11" max="11" width="1.7109375" style="1" customWidth="1"/>
    <col min="12" max="12" width="94" style="1" bestFit="1" customWidth="1"/>
    <col min="13" max="16384" width="9.140625" style="1"/>
  </cols>
  <sheetData>
    <row r="1" spans="2:12" ht="8.1" customHeight="1" x14ac:dyDescent="0.25"/>
    <row r="2" spans="2:12" x14ac:dyDescent="0.25">
      <c r="B2" s="53" t="s">
        <v>345</v>
      </c>
    </row>
    <row r="3" spans="2:12" ht="8.1" customHeight="1" x14ac:dyDescent="0.25"/>
    <row r="4" spans="2:12" ht="30" customHeight="1" x14ac:dyDescent="0.25">
      <c r="B4" s="12" t="s">
        <v>0</v>
      </c>
      <c r="C4" s="12" t="s">
        <v>1</v>
      </c>
      <c r="D4" s="19" t="s">
        <v>346</v>
      </c>
      <c r="E4" s="37" t="s">
        <v>23</v>
      </c>
      <c r="F4" s="12" t="s">
        <v>401</v>
      </c>
      <c r="H4" s="13" t="s">
        <v>347</v>
      </c>
      <c r="J4" s="13" t="s">
        <v>2</v>
      </c>
      <c r="L4" s="39" t="s">
        <v>411</v>
      </c>
    </row>
    <row r="5" spans="2:12" x14ac:dyDescent="0.25">
      <c r="B5" s="2" t="s">
        <v>405</v>
      </c>
      <c r="C5" s="2" t="str">
        <f>INDEX(DB_PODPOR!$K:$K,MATCH(AEKO_OTP!$G5,DB_PODPOR!$B:$B,0))</f>
        <v>Základní titul OTP</v>
      </c>
      <c r="D5" s="51">
        <v>0</v>
      </c>
      <c r="E5" s="38">
        <f ca="1">IF(ROZCESTNIK!$F$3="EUR",INDEX(DB_PODPOR!$E:$E,MATCH(CONCATENATE($B5,$G5),DB_PODPOR!$N:$N,0)),INDEX(DB_PODPOR!$D:$D,MATCH(CONCATENATE($B5,$G5),DB_PODPOR!$N:$N,0)))</f>
        <v>91</v>
      </c>
      <c r="F5" s="36" t="str">
        <f>ROZCESTNIK!$F$3</f>
        <v>EUR</v>
      </c>
      <c r="G5" s="4" t="s">
        <v>364</v>
      </c>
      <c r="H5" s="3" t="str">
        <f t="shared" ref="H5:H28" si="0">IF($D5&gt;0,$D5*$E5,"–")</f>
        <v>–</v>
      </c>
      <c r="J5" s="3" t="str">
        <f ca="1">IF(SUM(AEKO_OTP_plocha_zdroj)=0,"–",SUMPRODUCT(AEKO_OTP_plocha_zdroj,AEKO_OTP_sazba_zdroj))</f>
        <v>–</v>
      </c>
      <c r="L5" s="2" t="s">
        <v>429</v>
      </c>
    </row>
    <row r="6" spans="2:12" x14ac:dyDescent="0.25">
      <c r="B6" s="2" t="s">
        <v>405</v>
      </c>
      <c r="C6" s="2" t="str">
        <f>INDEX(DB_PODPOR!$K:$K,MATCH(AEKO_OTP!$G6,DB_PODPOR!$B:$B,0))</f>
        <v>OTP management - nepokosené plochy</v>
      </c>
      <c r="D6" s="51">
        <v>0</v>
      </c>
      <c r="E6" s="38">
        <f ca="1">IF(ROZCESTNIK!$F$3="EUR",INDEX(DB_PODPOR!$E:$E,MATCH(CONCATENATE($B6,$G6),DB_PODPOR!$N:$N,0)),INDEX(DB_PODPOR!$D:$D,MATCH(CONCATENATE($B6,$G6),DB_PODPOR!$N:$N,0)))</f>
        <v>15</v>
      </c>
      <c r="F6" s="36" t="str">
        <f>ROZCESTNIK!$F$3</f>
        <v>EUR</v>
      </c>
      <c r="G6" s="4" t="s">
        <v>365</v>
      </c>
      <c r="H6" s="3" t="str">
        <f t="shared" si="0"/>
        <v>–</v>
      </c>
      <c r="L6" s="2" t="s">
        <v>430</v>
      </c>
    </row>
    <row r="7" spans="2:12" x14ac:dyDescent="0.25">
      <c r="B7" s="2" t="s">
        <v>405</v>
      </c>
      <c r="C7" s="2" t="str">
        <f>INDEX(DB_PODPOR!$K:$K,MATCH(AEKO_OTP!$G7,DB_PODPOR!$B:$B,0))</f>
        <v>Mezofilní a vlhkomilné louky hnojené</v>
      </c>
      <c r="D7" s="51">
        <v>0</v>
      </c>
      <c r="E7" s="38">
        <f ca="1">IF(ROZCESTNIK!$F$3="EUR",INDEX(DB_PODPOR!$E:$E,MATCH(CONCATENATE($B7,$G7),DB_PODPOR!$N:$N,0)),INDEX(DB_PODPOR!$D:$D,MATCH(CONCATENATE($B7,$G7),DB_PODPOR!$N:$N,0)))</f>
        <v>166</v>
      </c>
      <c r="F7" s="36" t="str">
        <f>ROZCESTNIK!$F$3</f>
        <v>EUR</v>
      </c>
      <c r="G7" s="4" t="s">
        <v>195</v>
      </c>
      <c r="H7" s="3" t="str">
        <f t="shared" si="0"/>
        <v>–</v>
      </c>
      <c r="L7" s="2" t="s">
        <v>431</v>
      </c>
    </row>
    <row r="8" spans="2:12" x14ac:dyDescent="0.25">
      <c r="B8" s="2" t="s">
        <v>405</v>
      </c>
      <c r="C8" s="2" t="str">
        <f>INDEX(DB_PODPOR!$K:$K,MATCH(AEKO_OTP!$G8,DB_PODPOR!$B:$B,0))</f>
        <v>Mezofilní a vlhkomilné louky nehnojené</v>
      </c>
      <c r="D8" s="51">
        <v>0</v>
      </c>
      <c r="E8" s="38">
        <f ca="1">IF(ROZCESTNIK!$F$3="EUR",INDEX(DB_PODPOR!$E:$E,MATCH(CONCATENATE($B8,$G8),DB_PODPOR!$N:$N,0)),INDEX(DB_PODPOR!$D:$D,MATCH(CONCATENATE($B8,$G8),DB_PODPOR!$N:$N,0)))</f>
        <v>185</v>
      </c>
      <c r="F8" s="36" t="str">
        <f>ROZCESTNIK!$F$3</f>
        <v>EUR</v>
      </c>
      <c r="G8" s="4" t="s">
        <v>376</v>
      </c>
      <c r="H8" s="3" t="str">
        <f t="shared" si="0"/>
        <v>–</v>
      </c>
      <c r="L8" s="2" t="s">
        <v>431</v>
      </c>
    </row>
    <row r="9" spans="2:12" x14ac:dyDescent="0.25">
      <c r="B9" s="2" t="s">
        <v>405</v>
      </c>
      <c r="C9" s="2" t="str">
        <f>INDEX(DB_PODPOR!$K:$K,MATCH(AEKO_OTP!$G9,DB_PODPOR!$B:$B,0))</f>
        <v>Horské a suchomilné louky hnojené</v>
      </c>
      <c r="D9" s="51">
        <v>0</v>
      </c>
      <c r="E9" s="38">
        <f ca="1">IF(ROZCESTNIK!$F$3="EUR",INDEX(DB_PODPOR!$E:$E,MATCH(CONCATENATE($B9,$G9),DB_PODPOR!$N:$N,0)),INDEX(DB_PODPOR!$D:$D,MATCH(CONCATENATE($B9,$G9),DB_PODPOR!$N:$N,0)))</f>
        <v>170</v>
      </c>
      <c r="F9" s="36" t="str">
        <f>ROZCESTNIK!$F$3</f>
        <v>EUR</v>
      </c>
      <c r="G9" s="4" t="s">
        <v>199</v>
      </c>
      <c r="H9" s="3" t="str">
        <f t="shared" si="0"/>
        <v>–</v>
      </c>
      <c r="L9" s="2" t="s">
        <v>432</v>
      </c>
    </row>
    <row r="10" spans="2:12" x14ac:dyDescent="0.25">
      <c r="B10" s="2" t="s">
        <v>405</v>
      </c>
      <c r="C10" s="2" t="str">
        <f>INDEX(DB_PODPOR!$K:$K,MATCH(AEKO_OTP!$G10,DB_PODPOR!$B:$B,0))</f>
        <v>Horské a suchomilné louky nehnojené</v>
      </c>
      <c r="D10" s="51">
        <v>0</v>
      </c>
      <c r="E10" s="38">
        <f ca="1">IF(ROZCESTNIK!$F$3="EUR",INDEX(DB_PODPOR!$E:$E,MATCH(CONCATENATE($B10,$G10),DB_PODPOR!$N:$N,0)),INDEX(DB_PODPOR!$D:$D,MATCH(CONCATENATE($B10,$G10),DB_PODPOR!$N:$N,0)))</f>
        <v>171</v>
      </c>
      <c r="F10" s="36" t="str">
        <f>ROZCESTNIK!$F$3</f>
        <v>EUR</v>
      </c>
      <c r="G10" s="4" t="s">
        <v>203</v>
      </c>
      <c r="H10" s="3" t="str">
        <f t="shared" si="0"/>
        <v>–</v>
      </c>
      <c r="L10" s="2" t="s">
        <v>432</v>
      </c>
    </row>
    <row r="11" spans="2:12" x14ac:dyDescent="0.25">
      <c r="B11" s="2" t="s">
        <v>405</v>
      </c>
      <c r="C11" s="2" t="str">
        <f>INDEX(DB_PODPOR!$K:$K,MATCH(AEKO_OTP!$G11,DB_PODPOR!$B:$B,0))</f>
        <v>Trvale podmáčené a rašelinné louky</v>
      </c>
      <c r="D11" s="51">
        <v>0</v>
      </c>
      <c r="E11" s="38">
        <f ca="1">IF(ROZCESTNIK!$F$3="EUR",INDEX(DB_PODPOR!$E:$E,MATCH(CONCATENATE($B11,$G11),DB_PODPOR!$N:$N,0)),INDEX(DB_PODPOR!$D:$D,MATCH(CONCATENATE($B11,$G11),DB_PODPOR!$N:$N,0)))</f>
        <v>691</v>
      </c>
      <c r="F11" s="36" t="str">
        <f>ROZCESTNIK!$F$3</f>
        <v>EUR</v>
      </c>
      <c r="G11" s="4" t="s">
        <v>207</v>
      </c>
      <c r="H11" s="3" t="str">
        <f t="shared" si="0"/>
        <v>–</v>
      </c>
      <c r="L11" s="2" t="s">
        <v>433</v>
      </c>
    </row>
    <row r="12" spans="2:12" x14ac:dyDescent="0.25">
      <c r="B12" s="2" t="s">
        <v>405</v>
      </c>
      <c r="C12" s="2" t="str">
        <f>INDEX(DB_PODPOR!$K:$K,MATCH(AEKO_OTP!$G12,DB_PODPOR!$B:$B,0))</f>
        <v>Ochrana chřástala polního</v>
      </c>
      <c r="D12" s="51">
        <v>0</v>
      </c>
      <c r="E12" s="38">
        <f ca="1">IF(ROZCESTNIK!$F$3="EUR",INDEX(DB_PODPOR!$E:$E,MATCH(CONCATENATE($B12,$G12),DB_PODPOR!$N:$N,0)),INDEX(DB_PODPOR!$D:$D,MATCH(CONCATENATE($B12,$G12),DB_PODPOR!$N:$N,0)))</f>
        <v>199</v>
      </c>
      <c r="F12" s="36" t="str">
        <f>ROZCESTNIK!$F$3</f>
        <v>EUR</v>
      </c>
      <c r="G12" s="4" t="s">
        <v>209</v>
      </c>
      <c r="H12" s="3" t="str">
        <f t="shared" si="0"/>
        <v>–</v>
      </c>
      <c r="L12" s="2" t="s">
        <v>434</v>
      </c>
    </row>
    <row r="13" spans="2:12" x14ac:dyDescent="0.25">
      <c r="B13" s="2" t="s">
        <v>405</v>
      </c>
      <c r="C13" s="2" t="str">
        <f>INDEX(DB_PODPOR!$K:$K,MATCH(AEKO_OTP!$G13,DB_PODPOR!$B:$B,0))</f>
        <v>Ochrana modrásků</v>
      </c>
      <c r="D13" s="51">
        <v>0</v>
      </c>
      <c r="E13" s="38">
        <f ca="1">IF(ROZCESTNIK!$F$3="EUR",INDEX(DB_PODPOR!$E:$E,MATCH(CONCATENATE($B13,$G13),DB_PODPOR!$N:$N,0)),INDEX(DB_PODPOR!$D:$D,MATCH(CONCATENATE($B13,$G13),DB_PODPOR!$N:$N,0)))</f>
        <v>174</v>
      </c>
      <c r="F13" s="36" t="str">
        <f>ROZCESTNIK!$F$3</f>
        <v>EUR</v>
      </c>
      <c r="G13" s="4" t="s">
        <v>412</v>
      </c>
      <c r="H13" s="3" t="str">
        <f t="shared" si="0"/>
        <v>–</v>
      </c>
      <c r="L13" s="2" t="s">
        <v>435</v>
      </c>
    </row>
    <row r="14" spans="2:12" x14ac:dyDescent="0.25">
      <c r="B14" s="2" t="s">
        <v>405</v>
      </c>
      <c r="C14" s="2" t="str">
        <f>INDEX(DB_PODPOR!$K:$K,MATCH(AEKO_OTP!$G14,DB_PODPOR!$B:$B,0))</f>
        <v>Suché stepní trávníky a vřesoviště</v>
      </c>
      <c r="D14" s="51">
        <v>0</v>
      </c>
      <c r="E14" s="38">
        <f ca="1">IF(ROZCESTNIK!$F$3="EUR",INDEX(DB_PODPOR!$E:$E,MATCH(CONCATENATE($B14,$G14),DB_PODPOR!$N:$N,0)),INDEX(DB_PODPOR!$D:$D,MATCH(CONCATENATE($B14,$G14),DB_PODPOR!$N:$N,0)))</f>
        <v>352</v>
      </c>
      <c r="F14" s="36" t="str">
        <f>ROZCESTNIK!$F$3</f>
        <v>EUR</v>
      </c>
      <c r="G14" s="4" t="s">
        <v>211</v>
      </c>
      <c r="H14" s="3" t="str">
        <f t="shared" si="0"/>
        <v>–</v>
      </c>
      <c r="L14" s="2" t="s">
        <v>436</v>
      </c>
    </row>
    <row r="15" spans="2:12" x14ac:dyDescent="0.25">
      <c r="B15" s="2" t="s">
        <v>405</v>
      </c>
      <c r="C15" s="2" t="str">
        <f>INDEX(DB_PODPOR!$K:$K,MATCH(AEKO_OTP!$G15,DB_PODPOR!$B:$B,0))</f>
        <v>Druhově bohaté pastviny</v>
      </c>
      <c r="D15" s="51">
        <v>0</v>
      </c>
      <c r="E15" s="38">
        <f ca="1">IF(ROZCESTNIK!$F$3="EUR",INDEX(DB_PODPOR!$E:$E,MATCH(CONCATENATE($B15,$G15),DB_PODPOR!$N:$N,0)),INDEX(DB_PODPOR!$D:$D,MATCH(CONCATENATE($B15,$G15),DB_PODPOR!$N:$N,0)))</f>
        <v>211</v>
      </c>
      <c r="F15" s="36" t="str">
        <f>ROZCESTNIK!$F$3</f>
        <v>EUR</v>
      </c>
      <c r="G15" s="4" t="s">
        <v>212</v>
      </c>
      <c r="H15" s="3" t="str">
        <f t="shared" si="0"/>
        <v>–</v>
      </c>
      <c r="L15" s="2" t="s">
        <v>437</v>
      </c>
    </row>
    <row r="16" spans="2:12" x14ac:dyDescent="0.25">
      <c r="B16" s="2" t="s">
        <v>405</v>
      </c>
      <c r="C16" s="2" t="str">
        <f>INDEX(DB_PODPOR!$K:$K,MATCH(AEKO_OTP!$G16,DB_PODPOR!$B:$B,0))</f>
        <v>Platba na výsledek</v>
      </c>
      <c r="D16" s="51">
        <v>0</v>
      </c>
      <c r="E16" s="38">
        <f ca="1">IF(ROZCESTNIK!$F$3="EUR",INDEX(DB_PODPOR!$E:$E,MATCH(CONCATENATE($B16,$G16),DB_PODPOR!$N:$N,0)),INDEX(DB_PODPOR!$D:$D,MATCH(CONCATENATE($B16,$G16),DB_PODPOR!$N:$N,0)))</f>
        <v>148</v>
      </c>
      <c r="F16" s="36" t="str">
        <f>ROZCESTNIK!$F$3</f>
        <v>EUR</v>
      </c>
      <c r="G16" s="4" t="s">
        <v>226</v>
      </c>
      <c r="H16" s="3" t="str">
        <f t="shared" si="0"/>
        <v>–</v>
      </c>
      <c r="L16" s="2" t="s">
        <v>438</v>
      </c>
    </row>
    <row r="17" spans="2:12" x14ac:dyDescent="0.25">
      <c r="B17" s="2" t="s">
        <v>406</v>
      </c>
      <c r="C17" s="2" t="str">
        <f>INDEX(DB_PODPOR!$K:$K,MATCH(AEKO_OTP!$G17,DB_PODPOR!$B:$B,0))</f>
        <v>Základní titul OTP</v>
      </c>
      <c r="D17" s="51">
        <v>0</v>
      </c>
      <c r="E17" s="38">
        <f ca="1">IF(ROZCESTNIK!$F$3="EUR",INDEX(DB_PODPOR!$E:$E,MATCH(CONCATENATE($B17,$G17),DB_PODPOR!$N:$N,0)),INDEX(DB_PODPOR!$D:$D,MATCH(CONCATENATE($B17,$G17),DB_PODPOR!$N:$N,0)))</f>
        <v>91</v>
      </c>
      <c r="F17" s="36" t="str">
        <f>ROZCESTNIK!$F$3</f>
        <v>EUR</v>
      </c>
      <c r="G17" s="4" t="s">
        <v>364</v>
      </c>
      <c r="H17" s="3" t="str">
        <f t="shared" si="0"/>
        <v>–</v>
      </c>
      <c r="L17" s="2" t="s">
        <v>429</v>
      </c>
    </row>
    <row r="18" spans="2:12" x14ac:dyDescent="0.25">
      <c r="B18" s="2" t="s">
        <v>406</v>
      </c>
      <c r="C18" s="2" t="str">
        <f>INDEX(DB_PODPOR!$K:$K,MATCH(AEKO_OTP!$G18,DB_PODPOR!$B:$B,0))</f>
        <v>OTP management - nepokosené plochy</v>
      </c>
      <c r="D18" s="51">
        <v>0</v>
      </c>
      <c r="E18" s="38">
        <f ca="1">IF(ROZCESTNIK!$F$3="EUR",INDEX(DB_PODPOR!$E:$E,MATCH(CONCATENATE($B18,$G18),DB_PODPOR!$N:$N,0)),INDEX(DB_PODPOR!$D:$D,MATCH(CONCATENATE($B18,$G18),DB_PODPOR!$N:$N,0)))</f>
        <v>15</v>
      </c>
      <c r="F18" s="36" t="str">
        <f>ROZCESTNIK!$F$3</f>
        <v>EUR</v>
      </c>
      <c r="G18" s="4" t="s">
        <v>365</v>
      </c>
      <c r="H18" s="3" t="str">
        <f t="shared" si="0"/>
        <v>–</v>
      </c>
      <c r="L18" s="2" t="s">
        <v>430</v>
      </c>
    </row>
    <row r="19" spans="2:12" x14ac:dyDescent="0.25">
      <c r="B19" s="2" t="s">
        <v>406</v>
      </c>
      <c r="C19" s="2" t="str">
        <f>INDEX(DB_PODPOR!$K:$K,MATCH(AEKO_OTP!$G19,DB_PODPOR!$B:$B,0))</f>
        <v>Mezofilní a vlhkomilné louky hnojené</v>
      </c>
      <c r="D19" s="51">
        <v>0</v>
      </c>
      <c r="E19" s="38">
        <f ca="1">IF(ROZCESTNIK!$F$3="EUR",INDEX(DB_PODPOR!$E:$E,MATCH(CONCATENATE($B19,$G19),DB_PODPOR!$N:$N,0)),INDEX(DB_PODPOR!$D:$D,MATCH(CONCATENATE($B19,$G19),DB_PODPOR!$N:$N,0)))</f>
        <v>98</v>
      </c>
      <c r="F19" s="36" t="str">
        <f>ROZCESTNIK!$F$3</f>
        <v>EUR</v>
      </c>
      <c r="G19" s="4" t="s">
        <v>196</v>
      </c>
      <c r="H19" s="3" t="str">
        <f t="shared" si="0"/>
        <v>–</v>
      </c>
      <c r="L19" s="2" t="s">
        <v>431</v>
      </c>
    </row>
    <row r="20" spans="2:12" x14ac:dyDescent="0.25">
      <c r="B20" s="2" t="s">
        <v>406</v>
      </c>
      <c r="C20" s="2" t="str">
        <f>INDEX(DB_PODPOR!$K:$K,MATCH(AEKO_OTP!$G20,DB_PODPOR!$B:$B,0))</f>
        <v>Mezofilní a vlhkomilné louky nehnojené</v>
      </c>
      <c r="D20" s="51">
        <v>0</v>
      </c>
      <c r="E20" s="38">
        <f ca="1">IF(ROZCESTNIK!$F$3="EUR",INDEX(DB_PODPOR!$E:$E,MATCH(CONCATENATE($B20,$G20),DB_PODPOR!$N:$N,0)),INDEX(DB_PODPOR!$D:$D,MATCH(CONCATENATE($B20,$G20),DB_PODPOR!$N:$N,0)))</f>
        <v>136</v>
      </c>
      <c r="F20" s="36" t="str">
        <f>ROZCESTNIK!$F$3</f>
        <v>EUR</v>
      </c>
      <c r="G20" s="4" t="s">
        <v>243</v>
      </c>
      <c r="H20" s="3" t="str">
        <f t="shared" si="0"/>
        <v>–</v>
      </c>
      <c r="L20" s="2" t="s">
        <v>431</v>
      </c>
    </row>
    <row r="21" spans="2:12" x14ac:dyDescent="0.25">
      <c r="B21" s="2" t="s">
        <v>406</v>
      </c>
      <c r="C21" s="2" t="str">
        <f>INDEX(DB_PODPOR!$K:$K,MATCH(AEKO_OTP!$G21,DB_PODPOR!$B:$B,0))</f>
        <v>Horské a suchomilné louky hnojené</v>
      </c>
      <c r="D21" s="51">
        <v>0</v>
      </c>
      <c r="E21" s="38">
        <f ca="1">IF(ROZCESTNIK!$F$3="EUR",INDEX(DB_PODPOR!$E:$E,MATCH(CONCATENATE($B21,$G21),DB_PODPOR!$N:$N,0)),INDEX(DB_PODPOR!$D:$D,MATCH(CONCATENATE($B21,$G21),DB_PODPOR!$N:$N,0)))</f>
        <v>120</v>
      </c>
      <c r="F21" s="36" t="str">
        <f>ROZCESTNIK!$F$3</f>
        <v>EUR</v>
      </c>
      <c r="G21" s="4" t="s">
        <v>200</v>
      </c>
      <c r="H21" s="3" t="str">
        <f t="shared" si="0"/>
        <v>–</v>
      </c>
      <c r="L21" s="2" t="s">
        <v>432</v>
      </c>
    </row>
    <row r="22" spans="2:12" x14ac:dyDescent="0.25">
      <c r="B22" s="2" t="s">
        <v>406</v>
      </c>
      <c r="C22" s="2" t="str">
        <f>INDEX(DB_PODPOR!$K:$K,MATCH(AEKO_OTP!$G22,DB_PODPOR!$B:$B,0))</f>
        <v>Horské a suchomilné louky nehnojené</v>
      </c>
      <c r="D22" s="51">
        <v>0</v>
      </c>
      <c r="E22" s="38">
        <f ca="1">IF(ROZCESTNIK!$F$3="EUR",INDEX(DB_PODPOR!$E:$E,MATCH(CONCATENATE($B22,$G22),DB_PODPOR!$N:$N,0)),INDEX(DB_PODPOR!$D:$D,MATCH(CONCATENATE($B22,$G22),DB_PODPOR!$N:$N,0)))</f>
        <v>135</v>
      </c>
      <c r="F22" s="36" t="str">
        <f>ROZCESTNIK!$F$3</f>
        <v>EUR</v>
      </c>
      <c r="G22" s="4" t="s">
        <v>204</v>
      </c>
      <c r="H22" s="3" t="str">
        <f t="shared" si="0"/>
        <v>–</v>
      </c>
      <c r="L22" s="2" t="s">
        <v>432</v>
      </c>
    </row>
    <row r="23" spans="2:12" x14ac:dyDescent="0.25">
      <c r="B23" s="2" t="s">
        <v>406</v>
      </c>
      <c r="C23" s="2" t="str">
        <f>INDEX(DB_PODPOR!$K:$K,MATCH(AEKO_OTP!$G23,DB_PODPOR!$B:$B,0))</f>
        <v>Trvalé podmáčené a rašelinné louky</v>
      </c>
      <c r="D23" s="51">
        <v>0</v>
      </c>
      <c r="E23" s="38">
        <f ca="1">IF(ROZCESTNIK!$F$3="EUR",INDEX(DB_PODPOR!$E:$E,MATCH(CONCATENATE($B23,$G23),DB_PODPOR!$N:$N,0)),INDEX(DB_PODPOR!$D:$D,MATCH(CONCATENATE($B23,$G23),DB_PODPOR!$N:$N,0)))</f>
        <v>640</v>
      </c>
      <c r="F23" s="36" t="str">
        <f>ROZCESTNIK!$F$3</f>
        <v>EUR</v>
      </c>
      <c r="G23" s="4" t="s">
        <v>244</v>
      </c>
      <c r="H23" s="3" t="str">
        <f t="shared" si="0"/>
        <v>–</v>
      </c>
      <c r="L23" s="2" t="s">
        <v>433</v>
      </c>
    </row>
    <row r="24" spans="2:12" x14ac:dyDescent="0.25">
      <c r="B24" s="2" t="s">
        <v>406</v>
      </c>
      <c r="C24" s="2" t="str">
        <f>INDEX(DB_PODPOR!$K:$K,MATCH(AEKO_OTP!$G24,DB_PODPOR!$B:$B,0))</f>
        <v>Ochrana chřástala polního</v>
      </c>
      <c r="D24" s="51">
        <v>0</v>
      </c>
      <c r="E24" s="38">
        <f ca="1">IF(ROZCESTNIK!$F$3="EUR",INDEX(DB_PODPOR!$E:$E,MATCH(CONCATENATE($B24,$G24),DB_PODPOR!$N:$N,0)),INDEX(DB_PODPOR!$D:$D,MATCH(CONCATENATE($B24,$G24),DB_PODPOR!$N:$N,0)))</f>
        <v>162</v>
      </c>
      <c r="F24" s="36" t="str">
        <f>ROZCESTNIK!$F$3</f>
        <v>EUR</v>
      </c>
      <c r="G24" s="4" t="s">
        <v>245</v>
      </c>
      <c r="H24" s="3" t="str">
        <f t="shared" si="0"/>
        <v>–</v>
      </c>
      <c r="L24" s="2" t="s">
        <v>434</v>
      </c>
    </row>
    <row r="25" spans="2:12" x14ac:dyDescent="0.25">
      <c r="B25" s="2" t="s">
        <v>406</v>
      </c>
      <c r="C25" s="2" t="str">
        <f>INDEX(DB_PODPOR!$K:$K,MATCH(AEKO_OTP!$G25,DB_PODPOR!$B:$B,0))</f>
        <v>Ochrana modrásků</v>
      </c>
      <c r="D25" s="51">
        <v>0</v>
      </c>
      <c r="E25" s="38">
        <f ca="1">IF(ROZCESTNIK!$F$3="EUR",INDEX(DB_PODPOR!$E:$E,MATCH(CONCATENATE($B25,$G25),DB_PODPOR!$N:$N,0)),INDEX(DB_PODPOR!$D:$D,MATCH(CONCATENATE($B25,$G25),DB_PODPOR!$N:$N,0)))</f>
        <v>135</v>
      </c>
      <c r="F25" s="36" t="str">
        <f>ROZCESTNIK!$F$3</f>
        <v>EUR</v>
      </c>
      <c r="G25" s="4" t="s">
        <v>412</v>
      </c>
      <c r="H25" s="3" t="str">
        <f t="shared" si="0"/>
        <v>–</v>
      </c>
      <c r="L25" s="2" t="s">
        <v>435</v>
      </c>
    </row>
    <row r="26" spans="2:12" x14ac:dyDescent="0.25">
      <c r="B26" s="2" t="s">
        <v>406</v>
      </c>
      <c r="C26" s="2" t="str">
        <f>INDEX(DB_PODPOR!$K:$K,MATCH(AEKO_OTP!$G26,DB_PODPOR!$B:$B,0))</f>
        <v>Suché stepní trávníky a vřesoviště</v>
      </c>
      <c r="D26" s="51">
        <v>0</v>
      </c>
      <c r="E26" s="38">
        <f ca="1">IF(ROZCESTNIK!$F$3="EUR",INDEX(DB_PODPOR!$E:$E,MATCH(CONCATENATE($B26,$G26),DB_PODPOR!$N:$N,0)),INDEX(DB_PODPOR!$D:$D,MATCH(CONCATENATE($B26,$G26),DB_PODPOR!$N:$N,0)))</f>
        <v>352</v>
      </c>
      <c r="F26" s="36" t="str">
        <f>ROZCESTNIK!$F$3</f>
        <v>EUR</v>
      </c>
      <c r="G26" s="4" t="s">
        <v>211</v>
      </c>
      <c r="H26" s="3" t="str">
        <f t="shared" si="0"/>
        <v>–</v>
      </c>
      <c r="L26" s="2" t="s">
        <v>436</v>
      </c>
    </row>
    <row r="27" spans="2:12" x14ac:dyDescent="0.25">
      <c r="B27" s="2" t="s">
        <v>406</v>
      </c>
      <c r="C27" s="2" t="str">
        <f>INDEX(DB_PODPOR!$K:$K,MATCH(AEKO_OTP!$G27,DB_PODPOR!$B:$B,0))</f>
        <v>Druhově bohaté pastviny</v>
      </c>
      <c r="D27" s="51">
        <v>0</v>
      </c>
      <c r="E27" s="38">
        <f ca="1">IF(ROZCESTNIK!$F$3="EUR",INDEX(DB_PODPOR!$E:$E,MATCH(CONCATENATE($B27,$G27),DB_PODPOR!$N:$N,0)),INDEX(DB_PODPOR!$D:$D,MATCH(CONCATENATE($B27,$G27),DB_PODPOR!$N:$N,0)))</f>
        <v>155</v>
      </c>
      <c r="F27" s="36" t="str">
        <f>ROZCESTNIK!$F$3</f>
        <v>EUR</v>
      </c>
      <c r="G27" s="4" t="s">
        <v>213</v>
      </c>
      <c r="H27" s="3" t="str">
        <f t="shared" si="0"/>
        <v>–</v>
      </c>
      <c r="L27" s="2" t="s">
        <v>437</v>
      </c>
    </row>
    <row r="28" spans="2:12" x14ac:dyDescent="0.25">
      <c r="B28" s="2" t="s">
        <v>406</v>
      </c>
      <c r="C28" s="2" t="str">
        <f>INDEX(DB_PODPOR!$K:$K,MATCH(AEKO_OTP!$G28,DB_PODPOR!$B:$B,0))</f>
        <v>Platba na výsledek</v>
      </c>
      <c r="D28" s="51">
        <v>0</v>
      </c>
      <c r="E28" s="38">
        <f ca="1">IF(ROZCESTNIK!$F$3="EUR",INDEX(DB_PODPOR!$E:$E,MATCH(CONCATENATE($B28,$G28),DB_PODPOR!$N:$N,0)),INDEX(DB_PODPOR!$D:$D,MATCH(CONCATENATE($B28,$G28),DB_PODPOR!$N:$N,0)))</f>
        <v>148</v>
      </c>
      <c r="F28" s="36" t="str">
        <f>ROZCESTNIK!$F$3</f>
        <v>EUR</v>
      </c>
      <c r="G28" s="4" t="s">
        <v>226</v>
      </c>
      <c r="H28" s="3" t="str">
        <f t="shared" si="0"/>
        <v>–</v>
      </c>
      <c r="L28" s="2" t="s">
        <v>438</v>
      </c>
    </row>
  </sheetData>
  <sheetProtection algorithmName="SHA-512" hashValue="kiX6IbRzHgtWMiWFyduqhOBmsZFIdIzs4cj2siASSvgA4d8sqxaU18qCU3yBJeOGvzOebZcKVlnuxR7lWTWFAg==" saltValue="ZH3gj1tZl0YTxftpyD1dpA==" spinCount="100000" sheet="1" objects="1" scenarios="1" selectLockedCells="1"/>
  <conditionalFormatting sqref="D5:D28">
    <cfRule type="expression" dxfId="21" priority="2">
      <formula>$D5=0</formula>
    </cfRule>
  </conditionalFormatting>
  <conditionalFormatting sqref="D4">
    <cfRule type="expression" dxfId="20" priority="1">
      <formula>COUNTIF(AEKO_OTP_plocha_zdroj,0)=COUNTA(AEKO_OTP_titul_zdroj)</formula>
    </cfRule>
  </conditionalFormatting>
  <hyperlinks>
    <hyperlink ref="B2" location="ROZCESTNIK!B3" display="← Zpět na úvodní stranu" xr:uid="{A013F409-80AC-44FD-8832-FBFD041F1DBD}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7135C-3699-4D47-80B8-A5011D07CF48}">
  <sheetPr codeName="List11"/>
  <dimension ref="B1:L13"/>
  <sheetViews>
    <sheetView zoomScaleNormal="100" workbookViewId="0">
      <selection activeCell="B2" activeCellId="1" sqref="D5:D9 B2"/>
    </sheetView>
  </sheetViews>
  <sheetFormatPr defaultRowHeight="15" x14ac:dyDescent="0.25"/>
  <cols>
    <col min="1" max="1" width="1.7109375" style="1" customWidth="1"/>
    <col min="2" max="3" width="42.7109375" style="1" customWidth="1"/>
    <col min="4" max="6" width="16.7109375" style="1" customWidth="1"/>
    <col min="7" max="7" width="1.7109375" style="4" customWidth="1"/>
    <col min="8" max="8" width="16.7109375" style="1" customWidth="1"/>
    <col min="9" max="9" width="1.7109375" style="1" customWidth="1"/>
    <col min="10" max="10" width="16.7109375" style="1" customWidth="1"/>
    <col min="11" max="11" width="1.7109375" style="1" customWidth="1"/>
    <col min="12" max="12" width="65.85546875" style="1" bestFit="1" customWidth="1"/>
    <col min="13" max="16384" width="9.140625" style="1"/>
  </cols>
  <sheetData>
    <row r="1" spans="2:12" ht="8.1" customHeight="1" x14ac:dyDescent="0.25"/>
    <row r="2" spans="2:12" x14ac:dyDescent="0.25">
      <c r="B2" s="53" t="s">
        <v>345</v>
      </c>
    </row>
    <row r="3" spans="2:12" ht="8.1" customHeight="1" x14ac:dyDescent="0.25"/>
    <row r="4" spans="2:12" ht="30" customHeight="1" x14ac:dyDescent="0.25">
      <c r="B4" s="12" t="s">
        <v>0</v>
      </c>
      <c r="C4" s="12" t="s">
        <v>1</v>
      </c>
      <c r="D4" s="19" t="s">
        <v>346</v>
      </c>
      <c r="E4" s="12" t="s">
        <v>23</v>
      </c>
      <c r="F4" s="12" t="s">
        <v>401</v>
      </c>
      <c r="H4" s="13" t="s">
        <v>347</v>
      </c>
      <c r="J4" s="13" t="s">
        <v>2</v>
      </c>
      <c r="L4" s="39" t="s">
        <v>411</v>
      </c>
    </row>
    <row r="5" spans="2:12" x14ac:dyDescent="0.25">
      <c r="B5" s="2" t="s">
        <v>71</v>
      </c>
      <c r="C5" s="2" t="str">
        <f>INDEX(DB_PODPOR!$K:$K,MATCH(AEKO_BIODIV!$G5,DB_PODPOR!$B:$B,0))</f>
        <v>Nektarodárné biopásy</v>
      </c>
      <c r="D5" s="51">
        <v>0</v>
      </c>
      <c r="E5" s="3">
        <f>IF(ROZCESTNIK!$F$3="EUR",INDEX(DB_PODPOR!$E:$E,MATCH($G5,DB_PODPOR!$B:$B,0)),INDEX(DB_PODPOR!$D:$D,MATCH($G5,DB_PODPOR!$B:$B,0)))</f>
        <v>597</v>
      </c>
      <c r="F5" s="36" t="str">
        <f>ROZCESTNIK!$F$3</f>
        <v>EUR</v>
      </c>
      <c r="G5" s="4" t="s">
        <v>215</v>
      </c>
      <c r="H5" s="3" t="str">
        <f>IF($D5&gt;0,$D5*$E5,"–")</f>
        <v>–</v>
      </c>
      <c r="J5" s="3" t="str">
        <f ca="1">IF(SUM(AEKO_BIODIV_plocha_zdroj)=0,"–",SUMPRODUCT(AEKO_BIODIV_plocha_zdroj,AEKO_BIODIV_sazba_zdroj))</f>
        <v>–</v>
      </c>
      <c r="L5" s="2" t="s">
        <v>428</v>
      </c>
    </row>
    <row r="6" spans="2:12" x14ac:dyDescent="0.25">
      <c r="B6" s="2" t="s">
        <v>71</v>
      </c>
      <c r="C6" s="2" t="str">
        <f>INDEX(DB_PODPOR!$K:$K,MATCH(AEKO_BIODIV!$G6,DB_PODPOR!$B:$B,0))</f>
        <v>Krmné biopásy</v>
      </c>
      <c r="D6" s="51">
        <v>0</v>
      </c>
      <c r="E6" s="3">
        <f>IF(ROZCESTNIK!$F$3="EUR",INDEX(DB_PODPOR!$E:$E,MATCH($G6,DB_PODPOR!$B:$B,0)),INDEX(DB_PODPOR!$D:$D,MATCH($G6,DB_PODPOR!$B:$B,0)))</f>
        <v>676</v>
      </c>
      <c r="F6" s="36" t="str">
        <f>ROZCESTNIK!$F$3</f>
        <v>EUR</v>
      </c>
      <c r="G6" s="4" t="s">
        <v>216</v>
      </c>
      <c r="H6" s="3" t="str">
        <f>IF($D6&gt;0,$D6*$E6,"–")</f>
        <v>–</v>
      </c>
      <c r="L6" s="2" t="s">
        <v>428</v>
      </c>
    </row>
    <row r="7" spans="2:12" x14ac:dyDescent="0.25">
      <c r="B7" s="2" t="s">
        <v>71</v>
      </c>
      <c r="C7" s="2" t="str">
        <f>INDEX(DB_PODPOR!$K:$K,MATCH(AEKO_BIODIV!$G7,DB_PODPOR!$B:$B,0))</f>
        <v>Kombinované biopásy</v>
      </c>
      <c r="D7" s="51">
        <v>0</v>
      </c>
      <c r="E7" s="3">
        <f>IF(ROZCESTNIK!$F$3="EUR",INDEX(DB_PODPOR!$E:$E,MATCH($G7,DB_PODPOR!$B:$B,0)),INDEX(DB_PODPOR!$D:$D,MATCH($G7,DB_PODPOR!$B:$B,0)))</f>
        <v>639</v>
      </c>
      <c r="F7" s="36" t="str">
        <f>ROZCESTNIK!$F$3</f>
        <v>EUR</v>
      </c>
      <c r="G7" s="4" t="s">
        <v>217</v>
      </c>
      <c r="H7" s="3" t="str">
        <f>IF($D7&gt;0,$D7*$E7,"–")</f>
        <v>–</v>
      </c>
      <c r="L7" s="2" t="s">
        <v>428</v>
      </c>
    </row>
    <row r="8" spans="2:12" x14ac:dyDescent="0.25">
      <c r="B8" s="2" t="s">
        <v>71</v>
      </c>
      <c r="C8" s="2" t="str">
        <f>INDEX(DB_PODPOR!$K:$K,MATCH(AEKO_BIODIV!$G8,DB_PODPOR!$B:$B,0))</f>
        <v>Ochrana čejky chocholaté</v>
      </c>
      <c r="D8" s="51">
        <v>0</v>
      </c>
      <c r="E8" s="3">
        <f>IF(ROZCESTNIK!$F$3="EUR",INDEX(DB_PODPOR!$E:$E,MATCH($G8,DB_PODPOR!$B:$B,0)),INDEX(DB_PODPOR!$D:$D,MATCH($G8,DB_PODPOR!$B:$B,0)))</f>
        <v>630</v>
      </c>
      <c r="F8" s="36" t="str">
        <f>ROZCESTNIK!$F$3</f>
        <v>EUR</v>
      </c>
      <c r="G8" s="4" t="s">
        <v>218</v>
      </c>
      <c r="H8" s="3" t="str">
        <f>IF($D8&gt;0,$D8*$E8,"–")</f>
        <v>–</v>
      </c>
      <c r="L8" s="2" t="s">
        <v>439</v>
      </c>
    </row>
    <row r="9" spans="2:12" x14ac:dyDescent="0.25">
      <c r="B9" s="21" t="s">
        <v>71</v>
      </c>
      <c r="C9" s="21" t="str">
        <f>INDEX(DB_PODPOR!$K:$K,MATCH(AEKO_BIODIV!$G9,DB_PODPOR!$B:$B,0))</f>
        <v>Druhově bohaté pokrytí orné půdy</v>
      </c>
      <c r="D9" s="56">
        <v>0</v>
      </c>
      <c r="E9" s="3">
        <f>IF(ROZCESTNIK!$F$3="EUR",INDEX(DB_PODPOR!$E:$E,MATCH($G9,DB_PODPOR!$B:$B,0)),INDEX(DB_PODPOR!$D:$D,MATCH($G9,DB_PODPOR!$B:$B,0)))</f>
        <v>417</v>
      </c>
      <c r="F9" s="36" t="str">
        <f>ROZCESTNIK!$F$3</f>
        <v>EUR</v>
      </c>
      <c r="G9" s="4" t="s">
        <v>366</v>
      </c>
      <c r="H9" s="22" t="str">
        <f>IF($D9&gt;0,$D9*$E9,"–")</f>
        <v>–</v>
      </c>
      <c r="L9" s="2" t="s">
        <v>428</v>
      </c>
    </row>
    <row r="10" spans="2:12" x14ac:dyDescent="0.25">
      <c r="L10" s="40"/>
    </row>
    <row r="11" spans="2:12" x14ac:dyDescent="0.25">
      <c r="L11" s="34"/>
    </row>
    <row r="12" spans="2:12" x14ac:dyDescent="0.25">
      <c r="L12" s="34"/>
    </row>
    <row r="13" spans="2:12" x14ac:dyDescent="0.25">
      <c r="L13" s="34"/>
    </row>
  </sheetData>
  <sheetProtection algorithmName="SHA-512" hashValue="wpeyIimWn5Wls7TrY3qMZMQGxVeyP3kjzvjFUtTkZZHvnR+LK2iP+RwjsFkno6NLom5xXSv+IxocjziE4NyQAQ==" saltValue="20CIsjB8co9hWby+9NtBaw==" spinCount="100000" sheet="1" objects="1" scenarios="1" selectLockedCells="1"/>
  <conditionalFormatting sqref="D5:D9">
    <cfRule type="expression" dxfId="19" priority="2">
      <formula>$D5=0</formula>
    </cfRule>
  </conditionalFormatting>
  <conditionalFormatting sqref="D4">
    <cfRule type="expression" dxfId="18" priority="1">
      <formula>COUNTIF(AEKO_BIODIV_plocha_zdroj,0)=COUNTA(AEKO_BIODIV_titul_zdroj)</formula>
    </cfRule>
  </conditionalFormatting>
  <hyperlinks>
    <hyperlink ref="B2" location="ROZCESTNIK!B3" display="← Zpět na úvodní stranu" xr:uid="{94208F85-5DE9-4D09-B97B-A4B92405979B}"/>
  </hyperlink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FA546-5232-4D74-BF64-65D99A631F5D}">
  <sheetPr codeName="List12"/>
  <dimension ref="B1:L9"/>
  <sheetViews>
    <sheetView zoomScaleNormal="100" workbookViewId="0">
      <selection activeCell="B2" activeCellId="1" sqref="D5:D9 B2"/>
    </sheetView>
  </sheetViews>
  <sheetFormatPr defaultRowHeight="15" x14ac:dyDescent="0.25"/>
  <cols>
    <col min="1" max="1" width="1.7109375" style="1" customWidth="1"/>
    <col min="2" max="3" width="50.7109375" style="1" customWidth="1"/>
    <col min="4" max="6" width="16.7109375" style="1" customWidth="1"/>
    <col min="7" max="7" width="1.7109375" style="4" customWidth="1"/>
    <col min="8" max="8" width="16.7109375" style="1" customWidth="1"/>
    <col min="9" max="9" width="1.7109375" style="1" customWidth="1"/>
    <col min="10" max="10" width="16.7109375" style="1" customWidth="1"/>
    <col min="11" max="11" width="1.7109375" style="1" customWidth="1"/>
    <col min="12" max="12" width="60.7109375" style="1" customWidth="1"/>
    <col min="13" max="16384" width="9.140625" style="1"/>
  </cols>
  <sheetData>
    <row r="1" spans="2:12" ht="8.1" customHeight="1" x14ac:dyDescent="0.25"/>
    <row r="2" spans="2:12" x14ac:dyDescent="0.25">
      <c r="B2" s="53" t="s">
        <v>345</v>
      </c>
    </row>
    <row r="3" spans="2:12" ht="8.1" customHeight="1" x14ac:dyDescent="0.25"/>
    <row r="4" spans="2:12" ht="30" customHeight="1" x14ac:dyDescent="0.25">
      <c r="B4" s="12" t="s">
        <v>0</v>
      </c>
      <c r="C4" s="12" t="s">
        <v>1</v>
      </c>
      <c r="D4" s="19" t="s">
        <v>346</v>
      </c>
      <c r="E4" s="12" t="s">
        <v>23</v>
      </c>
      <c r="F4" s="12" t="s">
        <v>401</v>
      </c>
      <c r="H4" s="13" t="s">
        <v>347</v>
      </c>
      <c r="J4" s="13" t="s">
        <v>2</v>
      </c>
      <c r="L4" s="39" t="s">
        <v>411</v>
      </c>
    </row>
    <row r="5" spans="2:12" x14ac:dyDescent="0.25">
      <c r="B5" s="2" t="s">
        <v>76</v>
      </c>
      <c r="C5" s="2" t="str">
        <f>INDEX(DB_PODPOR!$K:$K,MATCH(AEKO_IP!$G5,DB_PODPOR!$B:$B,0))</f>
        <v>Základní ochrana vinic</v>
      </c>
      <c r="D5" s="51">
        <v>0</v>
      </c>
      <c r="E5" s="3">
        <f>IF(ROZCESTNIK!$F$3="EUR",INDEX(DB_PODPOR!$E:$E,MATCH($G5,DB_PODPOR!$B:$B,0)),INDEX(DB_PODPOR!$D:$D,MATCH($G5,DB_PODPOR!$B:$B,0)))</f>
        <v>334</v>
      </c>
      <c r="F5" s="36" t="str">
        <f>ROZCESTNIK!$F$3</f>
        <v>EUR</v>
      </c>
      <c r="G5" s="4" t="s">
        <v>219</v>
      </c>
      <c r="H5" s="3" t="str">
        <f>IF($D5&gt;0,$D5*$E5,"–")</f>
        <v>–</v>
      </c>
      <c r="J5" s="3" t="str">
        <f ca="1">IF(SUM(AEKO_IP_plocha_zdroj)=0,"–",SUMPRODUCT(AEKO_IP_plocha_zdroj,AEKO_IP_sazba_zdroj))</f>
        <v>–</v>
      </c>
      <c r="L5" s="2" t="s">
        <v>440</v>
      </c>
    </row>
    <row r="6" spans="2:12" x14ac:dyDescent="0.25">
      <c r="B6" s="2" t="s">
        <v>76</v>
      </c>
      <c r="C6" s="2" t="str">
        <f>INDEX(DB_PODPOR!$K:$K,MATCH(AEKO_IP!$G6,DB_PODPOR!$B:$B,0))</f>
        <v>Nadstavbová ochrana vinic</v>
      </c>
      <c r="D6" s="51">
        <v>0</v>
      </c>
      <c r="E6" s="3">
        <f>IF(ROZCESTNIK!$F$3="EUR",INDEX(DB_PODPOR!$E:$E,MATCH($G6,DB_PODPOR!$B:$B,0)),INDEX(DB_PODPOR!$D:$D,MATCH($G6,DB_PODPOR!$B:$B,0)))</f>
        <v>672</v>
      </c>
      <c r="F6" s="36" t="str">
        <f>ROZCESTNIK!$F$3</f>
        <v>EUR</v>
      </c>
      <c r="G6" s="4" t="s">
        <v>220</v>
      </c>
      <c r="H6" s="3" t="str">
        <f>IF($D6&gt;0,$D6*$E6,"–")</f>
        <v>–</v>
      </c>
      <c r="L6" s="2" t="s">
        <v>440</v>
      </c>
    </row>
    <row r="7" spans="2:12" x14ac:dyDescent="0.25">
      <c r="B7" s="2" t="s">
        <v>76</v>
      </c>
      <c r="C7" s="2" t="str">
        <f>INDEX(DB_PODPOR!$K:$K,MATCH(AEKO_IP!$G7,DB_PODPOR!$B:$B,0))</f>
        <v>Integrovaná produkce zeleniny, jahodníku a brambor</v>
      </c>
      <c r="D7" s="51">
        <v>0</v>
      </c>
      <c r="E7" s="3">
        <f>IF(ROZCESTNIK!$F$3="EUR",INDEX(DB_PODPOR!$E:$E,MATCH($G7,DB_PODPOR!$B:$B,0)),INDEX(DB_PODPOR!$D:$D,MATCH($G7,DB_PODPOR!$B:$B,0)))</f>
        <v>462</v>
      </c>
      <c r="F7" s="36" t="str">
        <f>ROZCESTNIK!$F$3</f>
        <v>EUR</v>
      </c>
      <c r="G7" s="4" t="s">
        <v>221</v>
      </c>
      <c r="H7" s="3" t="str">
        <f>IF($D7&gt;0,$D7*$E7,"–")</f>
        <v>–</v>
      </c>
      <c r="L7" s="2" t="s">
        <v>441</v>
      </c>
    </row>
    <row r="8" spans="2:12" x14ac:dyDescent="0.25">
      <c r="B8" s="2" t="s">
        <v>76</v>
      </c>
      <c r="C8" s="2" t="str">
        <f>INDEX(DB_PODPOR!$K:$K,MATCH(AEKO_IP!$G8,DB_PODPOR!$B:$B,0))</f>
        <v>Integrovaná produkce ovoce</v>
      </c>
      <c r="D8" s="51">
        <v>0</v>
      </c>
      <c r="E8" s="3">
        <f>IF(ROZCESTNIK!$F$3="EUR",INDEX(DB_PODPOR!$E:$E,MATCH($G8,DB_PODPOR!$B:$B,0)),INDEX(DB_PODPOR!$D:$D,MATCH($G8,DB_PODPOR!$B:$B,0)))</f>
        <v>460</v>
      </c>
      <c r="F8" s="36" t="str">
        <f>ROZCESTNIK!$F$3</f>
        <v>EUR</v>
      </c>
      <c r="G8" s="4" t="s">
        <v>223</v>
      </c>
      <c r="H8" s="3" t="str">
        <f>IF($D8&gt;0,$D8*$E8,"–")</f>
        <v>–</v>
      </c>
      <c r="L8" s="2" t="s">
        <v>442</v>
      </c>
    </row>
    <row r="9" spans="2:12" x14ac:dyDescent="0.25">
      <c r="B9" s="2" t="s">
        <v>76</v>
      </c>
      <c r="C9" s="2" t="str">
        <f>INDEX(DB_PODPOR!$K:$K,MATCH(AEKO_IP!$G9,DB_PODPOR!$B:$B,0))</f>
        <v>Integrovaná produkce vína - doplňková platba</v>
      </c>
      <c r="D9" s="51">
        <v>0</v>
      </c>
      <c r="E9" s="3">
        <f>IF(ROZCESTNIK!$F$3="EUR",INDEX(DB_PODPOR!$E:$E,MATCH($G9,DB_PODPOR!$B:$B,0)),INDEX(DB_PODPOR!$D:$D,MATCH($G9,DB_PODPOR!$B:$B,0)))</f>
        <v>198</v>
      </c>
      <c r="F9" s="36" t="str">
        <f>ROZCESTNIK!$F$3</f>
        <v>EUR</v>
      </c>
      <c r="G9" s="4" t="s">
        <v>368</v>
      </c>
      <c r="H9" s="3" t="str">
        <f>IF($D9&gt;0,$D9*$E9,"–")</f>
        <v>–</v>
      </c>
      <c r="L9" s="2" t="s">
        <v>440</v>
      </c>
    </row>
  </sheetData>
  <sheetProtection algorithmName="SHA-512" hashValue="VGNTS8KfReJLp2T0SuPqMNDfP33jYcs/mmptn1UryBR3mQK+cKbpOx1p2s1mLFtGGkKZac2RRb1VDcpwC2fIyA==" saltValue="6wGQKCi8D3ob2xvCH4NRpg==" spinCount="100000" sheet="1" objects="1" scenarios="1" selectLockedCells="1"/>
  <conditionalFormatting sqref="D5:D9">
    <cfRule type="expression" dxfId="17" priority="2">
      <formula>$D5=0</formula>
    </cfRule>
  </conditionalFormatting>
  <conditionalFormatting sqref="D4">
    <cfRule type="expression" dxfId="16" priority="1">
      <formula>COUNTIF(AEKO_IP_plocha_zdroj,0)=COUNTA(AEKO_IP_titul_zdroj)</formula>
    </cfRule>
  </conditionalFormatting>
  <hyperlinks>
    <hyperlink ref="B2" location="ROZCESTNIK!B3" display="← Zpět na úvodní stranu" xr:uid="{7EBD396D-942A-43E3-8339-149A993D5E42}"/>
  </hyperlink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7E370-DCAC-4D48-AB65-753756002244}">
  <sheetPr codeName="List13"/>
  <dimension ref="B1:L7"/>
  <sheetViews>
    <sheetView zoomScaleNormal="100" workbookViewId="0">
      <selection activeCell="B2" activeCellId="1" sqref="D5:D6 B2"/>
    </sheetView>
  </sheetViews>
  <sheetFormatPr defaultRowHeight="15" x14ac:dyDescent="0.25"/>
  <cols>
    <col min="1" max="1" width="1.7109375" style="1" customWidth="1"/>
    <col min="2" max="3" width="42.7109375" style="1" customWidth="1"/>
    <col min="4" max="6" width="16.7109375" style="1" customWidth="1"/>
    <col min="7" max="7" width="1.7109375" style="1" customWidth="1"/>
    <col min="8" max="8" width="16.7109375" style="1" customWidth="1"/>
    <col min="9" max="9" width="1.7109375" style="1" customWidth="1"/>
    <col min="10" max="10" width="16.7109375" style="1" customWidth="1"/>
    <col min="11" max="11" width="1.7109375" style="1" customWidth="1"/>
    <col min="12" max="12" width="77.7109375" style="1" bestFit="1" customWidth="1"/>
    <col min="13" max="16384" width="9.140625" style="1"/>
  </cols>
  <sheetData>
    <row r="1" spans="2:12" ht="8.1" customHeight="1" x14ac:dyDescent="0.25"/>
    <row r="2" spans="2:12" x14ac:dyDescent="0.25">
      <c r="B2" s="53" t="s">
        <v>345</v>
      </c>
    </row>
    <row r="3" spans="2:12" ht="8.1" customHeight="1" x14ac:dyDescent="0.25"/>
    <row r="4" spans="2:12" ht="30" customHeight="1" x14ac:dyDescent="0.25">
      <c r="B4" s="12" t="s">
        <v>0</v>
      </c>
      <c r="C4" s="12" t="s">
        <v>1</v>
      </c>
      <c r="D4" s="19" t="s">
        <v>346</v>
      </c>
      <c r="E4" s="12" t="s">
        <v>23</v>
      </c>
      <c r="F4" s="12" t="s">
        <v>401</v>
      </c>
      <c r="H4" s="13" t="s">
        <v>347</v>
      </c>
      <c r="J4" s="13" t="s">
        <v>2</v>
      </c>
      <c r="L4" s="39" t="s">
        <v>411</v>
      </c>
    </row>
    <row r="5" spans="2:12" x14ac:dyDescent="0.25">
      <c r="B5" s="2" t="s">
        <v>17</v>
      </c>
      <c r="C5" s="2" t="str">
        <f>INDEX(DB_PODPOR!$K:$K,MATCH(AEKO_JINE!$G5,DB_PODPOR!$B:$B,0))</f>
        <v>Krajinotvorné sady</v>
      </c>
      <c r="D5" s="51">
        <v>0</v>
      </c>
      <c r="E5" s="3">
        <f>IF(ROZCESTNIK!$F$3="EUR",INDEX(DB_PODPOR!$E:$E,MATCH($G5,DB_PODPOR!$B:$B,0)),INDEX(DB_PODPOR!$D:$D,MATCH($G5,DB_PODPOR!$B:$B,0)))</f>
        <v>116</v>
      </c>
      <c r="F5" s="36" t="str">
        <f>ROZCESTNIK!$F$3</f>
        <v>EUR</v>
      </c>
      <c r="G5" s="4" t="s">
        <v>214</v>
      </c>
      <c r="H5" s="3" t="str">
        <f>IF($D5&gt;0,$D5*$E5,"–")</f>
        <v>–</v>
      </c>
      <c r="J5" s="3" t="str">
        <f ca="1">IF(SUM(AEKO_JINE_plocha_zdroj)=0,"–",SUMPRODUCT(AEKO_JINE_plocha_zdroj,AEKO_JINE_sazba_zdroj))</f>
        <v>–</v>
      </c>
      <c r="L5" s="2" t="s">
        <v>443</v>
      </c>
    </row>
    <row r="6" spans="2:12" x14ac:dyDescent="0.25">
      <c r="B6" s="2" t="s">
        <v>17</v>
      </c>
      <c r="C6" s="2" t="str">
        <f>INDEX(DB_PODPOR!$K:$K,MATCH(AEKO_JINE!$G6,DB_PODPOR!$B:$B,0))</f>
        <v>Hospodaření v OPVZ</v>
      </c>
      <c r="D6" s="51">
        <v>0</v>
      </c>
      <c r="E6" s="3">
        <f>IF(ROZCESTNIK!$F$3="EUR",INDEX(DB_PODPOR!$E:$E,MATCH($G6,DB_PODPOR!$B:$B,0)),INDEX(DB_PODPOR!$D:$D,MATCH($G6,DB_PODPOR!$B:$B,0)))</f>
        <v>151</v>
      </c>
      <c r="F6" s="36" t="str">
        <f>ROZCESTNIK!$F$3</f>
        <v>EUR</v>
      </c>
      <c r="G6" s="4" t="s">
        <v>227</v>
      </c>
      <c r="H6" s="3" t="str">
        <f>IF($D6&gt;0,$D6*$E6,"–")</f>
        <v>–</v>
      </c>
      <c r="L6" s="2" t="s">
        <v>444</v>
      </c>
    </row>
    <row r="7" spans="2:12" x14ac:dyDescent="0.25">
      <c r="B7" s="7" t="s">
        <v>17</v>
      </c>
    </row>
  </sheetData>
  <sheetProtection algorithmName="SHA-512" hashValue="e3EoS0/1aPpysDdrMoppCt85E2QPCHiHnTD1aEDIYsNtNVM+vUPJ8jj4RS587HksD9MMZr0vpIXisBFI3iA+lw==" saltValue="V/i0mkrHb1xbPF1Erdhkhw==" spinCount="100000" sheet="1" objects="1" scenarios="1" selectLockedCells="1"/>
  <conditionalFormatting sqref="D5:D6">
    <cfRule type="expression" dxfId="15" priority="2">
      <formula>$D5=0</formula>
    </cfRule>
  </conditionalFormatting>
  <conditionalFormatting sqref="D4">
    <cfRule type="expression" dxfId="14" priority="1">
      <formula>COUNTIF(AEKO_JINE_plocha_zdroj,0)=COUNTA(AEKO_JINE_titul_zdroj)</formula>
    </cfRule>
  </conditionalFormatting>
  <hyperlinks>
    <hyperlink ref="B2" location="ROZCESTNIK!B3" display="← Zpět na úvodní stranu" xr:uid="{F837F32A-A304-4BEB-A013-BF4B087B5C87}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E3571-D779-41BE-AE67-233C5436B6FE}">
  <sheetPr codeName="List14"/>
  <dimension ref="B1:L28"/>
  <sheetViews>
    <sheetView zoomScaleNormal="100" workbookViewId="0">
      <selection activeCell="B2" activeCellId="1" sqref="D5:D18 B2"/>
    </sheetView>
  </sheetViews>
  <sheetFormatPr defaultRowHeight="15" x14ac:dyDescent="0.25"/>
  <cols>
    <col min="1" max="1" width="1.7109375" style="1" customWidth="1"/>
    <col min="2" max="2" width="42.7109375" style="1" customWidth="1"/>
    <col min="3" max="3" width="64.7109375" style="1" customWidth="1"/>
    <col min="4" max="6" width="16.7109375" style="1" customWidth="1"/>
    <col min="7" max="7" width="1.7109375" style="1" customWidth="1"/>
    <col min="8" max="8" width="16.7109375" style="1" customWidth="1"/>
    <col min="9" max="9" width="1.7109375" style="1" customWidth="1"/>
    <col min="10" max="10" width="16.7109375" style="1" customWidth="1"/>
    <col min="11" max="11" width="1.7109375" style="1" customWidth="1"/>
    <col min="12" max="12" width="60.7109375" style="1" customWidth="1"/>
    <col min="13" max="16384" width="9.140625" style="1"/>
  </cols>
  <sheetData>
    <row r="1" spans="2:12" ht="8.1" customHeight="1" x14ac:dyDescent="0.25"/>
    <row r="2" spans="2:12" x14ac:dyDescent="0.25">
      <c r="B2" s="53" t="s">
        <v>345</v>
      </c>
    </row>
    <row r="3" spans="2:12" ht="8.1" customHeight="1" x14ac:dyDescent="0.25"/>
    <row r="4" spans="2:12" ht="30" customHeight="1" x14ac:dyDescent="0.25">
      <c r="B4" s="12" t="s">
        <v>0</v>
      </c>
      <c r="C4" s="12" t="s">
        <v>1</v>
      </c>
      <c r="D4" s="19" t="s">
        <v>346</v>
      </c>
      <c r="E4" s="12" t="s">
        <v>23</v>
      </c>
      <c r="F4" s="12" t="s">
        <v>401</v>
      </c>
      <c r="H4" s="13" t="s">
        <v>347</v>
      </c>
      <c r="J4" s="13" t="s">
        <v>2</v>
      </c>
      <c r="L4" s="39" t="s">
        <v>411</v>
      </c>
    </row>
    <row r="5" spans="2:12" x14ac:dyDescent="0.25">
      <c r="B5" s="2" t="s">
        <v>465</v>
      </c>
      <c r="C5" s="2" t="str">
        <f>INDEX(DB_PODPOR!$K:$K,MATCH(EZ_ZAKL!$G5,DB_PODPOR!$B:$B,0))</f>
        <v>Trvalé travní porosty v EZ</v>
      </c>
      <c r="D5" s="51">
        <v>0</v>
      </c>
      <c r="E5" s="3">
        <f>IF(ROZCESTNIK!$F$3="EUR",INDEX(DB_PODPOR!$E:$E,MATCH($G5,DB_PODPOR!$B:$B,0)),INDEX(DB_PODPOR!$D:$D,MATCH($G5,DB_PODPOR!$B:$B,0)))</f>
        <v>100</v>
      </c>
      <c r="F5" s="36" t="str">
        <f>ROZCESTNIK!$F$3</f>
        <v>EUR</v>
      </c>
      <c r="G5" s="4" t="s">
        <v>228</v>
      </c>
      <c r="H5" s="3" t="str">
        <f t="shared" ref="H5:H18" si="0">IF($D5&gt;0,$D5*$E5,"–")</f>
        <v>–</v>
      </c>
      <c r="J5" s="3" t="str">
        <f ca="1">IF(SUM(EZ_ZAKL_plocha_zdroj)=0,"–",SUMPRODUCT(EZ_ZAKL_plocha_zdroj,EZ_ZAKL_sazba_zdroj))</f>
        <v>–</v>
      </c>
      <c r="L5" s="2" t="s">
        <v>429</v>
      </c>
    </row>
    <row r="6" spans="2:12" x14ac:dyDescent="0.25">
      <c r="B6" s="2" t="s">
        <v>465</v>
      </c>
      <c r="C6" s="2" t="str">
        <f>INDEX(DB_PODPOR!$K:$K,MATCH(EZ_ZAKL!$G6,DB_PODPOR!$B:$B,0))</f>
        <v>Trvalé travní porosty v EZ - konverze</v>
      </c>
      <c r="D6" s="51">
        <v>0</v>
      </c>
      <c r="E6" s="3">
        <f>IF(ROZCESTNIK!$F$3="EUR",INDEX(DB_PODPOR!$E:$E,MATCH($G6,DB_PODPOR!$B:$B,0)),INDEX(DB_PODPOR!$D:$D,MATCH($G6,DB_PODPOR!$B:$B,0)))</f>
        <v>106</v>
      </c>
      <c r="F6" s="36" t="str">
        <f>ROZCESTNIK!$F$3</f>
        <v>EUR</v>
      </c>
      <c r="G6" s="4" t="s">
        <v>229</v>
      </c>
      <c r="H6" s="3" t="str">
        <f t="shared" si="0"/>
        <v>–</v>
      </c>
      <c r="L6" s="2" t="s">
        <v>429</v>
      </c>
    </row>
    <row r="7" spans="2:12" x14ac:dyDescent="0.25">
      <c r="B7" s="2" t="s">
        <v>465</v>
      </c>
      <c r="C7" s="2" t="str">
        <f>INDEX(DB_PODPOR!$K:$K,MATCH(EZ_ZAKL!$G7,DB_PODPOR!$B:$B,0))</f>
        <v>Pěstování trav a víceletých pícnin na orné půdě</v>
      </c>
      <c r="D7" s="51">
        <v>0</v>
      </c>
      <c r="E7" s="3">
        <f>IF(ROZCESTNIK!$F$3="EUR",INDEX(DB_PODPOR!$E:$E,MATCH($G7,DB_PODPOR!$B:$B,0)),INDEX(DB_PODPOR!$D:$D,MATCH($G7,DB_PODPOR!$B:$B,0)))</f>
        <v>120</v>
      </c>
      <c r="F7" s="36" t="str">
        <f>ROZCESTNIK!$F$3</f>
        <v>EUR</v>
      </c>
      <c r="G7" s="4" t="s">
        <v>386</v>
      </c>
      <c r="H7" s="3" t="str">
        <f t="shared" si="0"/>
        <v>–</v>
      </c>
      <c r="L7" s="2" t="s">
        <v>428</v>
      </c>
    </row>
    <row r="8" spans="2:12" x14ac:dyDescent="0.25">
      <c r="B8" s="2" t="s">
        <v>465</v>
      </c>
      <c r="C8" s="2" t="str">
        <f>INDEX(DB_PODPOR!$K:$K,MATCH(EZ_ZAKL!$G8,DB_PODPOR!$B:$B,0))</f>
        <v>Pěstování trav a víceletých pícnin na orné půdě - konverze</v>
      </c>
      <c r="D8" s="51">
        <v>0</v>
      </c>
      <c r="E8" s="3">
        <f>IF(ROZCESTNIK!$F$3="EUR",INDEX(DB_PODPOR!$E:$E,MATCH($G8,DB_PODPOR!$B:$B,0)),INDEX(DB_PODPOR!$D:$D,MATCH($G8,DB_PODPOR!$B:$B,0)))</f>
        <v>137</v>
      </c>
      <c r="F8" s="36" t="str">
        <f>ROZCESTNIK!$F$3</f>
        <v>EUR</v>
      </c>
      <c r="G8" s="4" t="s">
        <v>387</v>
      </c>
      <c r="H8" s="3" t="str">
        <f t="shared" si="0"/>
        <v>–</v>
      </c>
      <c r="L8" s="2" t="s">
        <v>428</v>
      </c>
    </row>
    <row r="9" spans="2:12" x14ac:dyDescent="0.25">
      <c r="B9" s="2" t="s">
        <v>465</v>
      </c>
      <c r="C9" s="2" t="str">
        <f>INDEX(DB_PODPOR!$K:$K,MATCH(EZ_ZAKL!$G9,DB_PODPOR!$B:$B,0))</f>
        <v>Pěstování zeleniny, speciálních bylin, brambor a jahodníku</v>
      </c>
      <c r="D9" s="51">
        <v>0</v>
      </c>
      <c r="E9" s="3">
        <f>IF(ROZCESTNIK!$F$3="EUR",INDEX(DB_PODPOR!$E:$E,MATCH($G9,DB_PODPOR!$B:$B,0)),INDEX(DB_PODPOR!$D:$D,MATCH($G9,DB_PODPOR!$B:$B,0)))</f>
        <v>638</v>
      </c>
      <c r="F9" s="36" t="str">
        <f>ROZCESTNIK!$F$3</f>
        <v>EUR</v>
      </c>
      <c r="G9" s="4" t="s">
        <v>388</v>
      </c>
      <c r="H9" s="3" t="str">
        <f t="shared" si="0"/>
        <v>–</v>
      </c>
      <c r="L9" s="2" t="s">
        <v>428</v>
      </c>
    </row>
    <row r="10" spans="2:12" x14ac:dyDescent="0.25">
      <c r="B10" s="2" t="s">
        <v>465</v>
      </c>
      <c r="C10" s="2" t="str">
        <f>INDEX(DB_PODPOR!$K:$K,MATCH(EZ_ZAKL!$G10,DB_PODPOR!$B:$B,0))</f>
        <v>Pěstování zeleniny, speciálních bylin, brambor a jahodníku - konverze</v>
      </c>
      <c r="D10" s="51">
        <v>0</v>
      </c>
      <c r="E10" s="3">
        <f>IF(ROZCESTNIK!$F$3="EUR",INDEX(DB_PODPOR!$E:$E,MATCH($G10,DB_PODPOR!$B:$B,0)),INDEX(DB_PODPOR!$D:$D,MATCH($G10,DB_PODPOR!$B:$B,0)))</f>
        <v>660</v>
      </c>
      <c r="F10" s="36" t="str">
        <f>ROZCESTNIK!$F$3</f>
        <v>EUR</v>
      </c>
      <c r="G10" s="4" t="s">
        <v>389</v>
      </c>
      <c r="H10" s="3" t="str">
        <f t="shared" si="0"/>
        <v>–</v>
      </c>
      <c r="L10" s="2" t="s">
        <v>428</v>
      </c>
    </row>
    <row r="11" spans="2:12" x14ac:dyDescent="0.25">
      <c r="B11" s="2" t="s">
        <v>465</v>
      </c>
      <c r="C11" s="2" t="str">
        <f>INDEX(DB_PODPOR!$K:$K,MATCH(EZ_ZAKL!$G11,DB_PODPOR!$B:$B,0))</f>
        <v>R - ostatní plodiny</v>
      </c>
      <c r="D11" s="51">
        <v>0</v>
      </c>
      <c r="E11" s="3">
        <f>IF(ROZCESTNIK!$F$3="EUR",INDEX(DB_PODPOR!$E:$E,MATCH($G11,DB_PODPOR!$B:$B,0)),INDEX(DB_PODPOR!$D:$D,MATCH($G11,DB_PODPOR!$B:$B,0)))</f>
        <v>239</v>
      </c>
      <c r="F11" s="36" t="str">
        <f>ROZCESTNIK!$F$3</f>
        <v>EUR</v>
      </c>
      <c r="G11" s="4" t="s">
        <v>231</v>
      </c>
      <c r="H11" s="3" t="str">
        <f t="shared" si="0"/>
        <v>–</v>
      </c>
      <c r="L11" s="2" t="s">
        <v>428</v>
      </c>
    </row>
    <row r="12" spans="2:12" x14ac:dyDescent="0.25">
      <c r="B12" s="2" t="s">
        <v>465</v>
      </c>
      <c r="C12" s="2" t="str">
        <f>INDEX(DB_PODPOR!$K:$K,MATCH(EZ_ZAKL!$G12,DB_PODPOR!$B:$B,0))</f>
        <v>R - ostatní plodiny - konverze</v>
      </c>
      <c r="D12" s="51">
        <v>0</v>
      </c>
      <c r="E12" s="3">
        <f>IF(ROZCESTNIK!$F$3="EUR",INDEX(DB_PODPOR!$E:$E,MATCH($G12,DB_PODPOR!$B:$B,0)),INDEX(DB_PODPOR!$D:$D,MATCH($G12,DB_PODPOR!$B:$B,0)))</f>
        <v>323</v>
      </c>
      <c r="F12" s="36" t="str">
        <f>ROZCESTNIK!$F$3</f>
        <v>EUR</v>
      </c>
      <c r="G12" s="4" t="s">
        <v>232</v>
      </c>
      <c r="H12" s="3" t="str">
        <f t="shared" si="0"/>
        <v>–</v>
      </c>
      <c r="L12" s="2" t="s">
        <v>428</v>
      </c>
    </row>
    <row r="13" spans="2:12" x14ac:dyDescent="0.25">
      <c r="B13" s="2" t="s">
        <v>465</v>
      </c>
      <c r="C13" s="2" t="str">
        <f>INDEX(DB_PODPOR!$K:$K,MATCH(EZ_ZAKL!$G13,DB_PODPOR!$B:$B,0))</f>
        <v>Sady intenzivní</v>
      </c>
      <c r="D13" s="51">
        <v>0</v>
      </c>
      <c r="E13" s="3">
        <f>IF(ROZCESTNIK!$F$3="EUR",INDEX(DB_PODPOR!$E:$E,MATCH($G13,DB_PODPOR!$B:$B,0)),INDEX(DB_PODPOR!$D:$D,MATCH($G13,DB_PODPOR!$B:$B,0)))</f>
        <v>850</v>
      </c>
      <c r="F13" s="36" t="str">
        <f>ROZCESTNIK!$F$3</f>
        <v>EUR</v>
      </c>
      <c r="G13" s="4" t="s">
        <v>234</v>
      </c>
      <c r="H13" s="3" t="str">
        <f t="shared" si="0"/>
        <v>–</v>
      </c>
      <c r="L13" s="2" t="s">
        <v>442</v>
      </c>
    </row>
    <row r="14" spans="2:12" x14ac:dyDescent="0.25">
      <c r="B14" s="2" t="s">
        <v>465</v>
      </c>
      <c r="C14" s="2" t="str">
        <f>INDEX(DB_PODPOR!$K:$K,MATCH(EZ_ZAKL!$G14,DB_PODPOR!$B:$B,0))</f>
        <v>Sady intenzivní - konverze</v>
      </c>
      <c r="D14" s="51">
        <v>0</v>
      </c>
      <c r="E14" s="3">
        <f>IF(ROZCESTNIK!$F$3="EUR",INDEX(DB_PODPOR!$E:$E,MATCH($G14,DB_PODPOR!$B:$B,0)),INDEX(DB_PODPOR!$D:$D,MATCH($G14,DB_PODPOR!$B:$B,0)))</f>
        <v>896</v>
      </c>
      <c r="F14" s="36" t="str">
        <f>ROZCESTNIK!$F$3</f>
        <v>EUR</v>
      </c>
      <c r="G14" s="4" t="s">
        <v>235</v>
      </c>
      <c r="H14" s="3" t="str">
        <f t="shared" si="0"/>
        <v>–</v>
      </c>
      <c r="L14" s="2" t="s">
        <v>442</v>
      </c>
    </row>
    <row r="15" spans="2:12" x14ac:dyDescent="0.25">
      <c r="B15" s="2" t="s">
        <v>465</v>
      </c>
      <c r="C15" s="2" t="str">
        <f>INDEX(DB_PODPOR!$K:$K,MATCH(EZ_ZAKL!$G15,DB_PODPOR!$B:$B,0))</f>
        <v>Sady ostatní</v>
      </c>
      <c r="D15" s="51">
        <v>0</v>
      </c>
      <c r="E15" s="3">
        <f>IF(ROZCESTNIK!$F$3="EUR",INDEX(DB_PODPOR!$E:$E,MATCH($G15,DB_PODPOR!$B:$B,0)),INDEX(DB_PODPOR!$D:$D,MATCH($G15,DB_PODPOR!$B:$B,0)))</f>
        <v>510</v>
      </c>
      <c r="F15" s="36" t="str">
        <f>ROZCESTNIK!$F$3</f>
        <v>EUR</v>
      </c>
      <c r="G15" s="4" t="s">
        <v>237</v>
      </c>
      <c r="H15" s="3" t="str">
        <f t="shared" si="0"/>
        <v>–</v>
      </c>
      <c r="L15" s="2" t="s">
        <v>442</v>
      </c>
    </row>
    <row r="16" spans="2:12" x14ac:dyDescent="0.25">
      <c r="B16" s="2" t="s">
        <v>465</v>
      </c>
      <c r="C16" s="2" t="str">
        <f>INDEX(DB_PODPOR!$K:$K,MATCH(EZ_ZAKL!$G16,DB_PODPOR!$B:$B,0))</f>
        <v>Sady ostatní - kovnverze</v>
      </c>
      <c r="D16" s="51">
        <v>0</v>
      </c>
      <c r="E16" s="3">
        <f>IF(ROZCESTNIK!$F$3="EUR",INDEX(DB_PODPOR!$E:$E,MATCH($G16,DB_PODPOR!$B:$B,0)),INDEX(DB_PODPOR!$D:$D,MATCH($G16,DB_PODPOR!$B:$B,0)))</f>
        <v>536</v>
      </c>
      <c r="F16" s="36" t="str">
        <f>ROZCESTNIK!$F$3</f>
        <v>EUR</v>
      </c>
      <c r="G16" s="4" t="s">
        <v>238</v>
      </c>
      <c r="H16" s="3" t="str">
        <f t="shared" si="0"/>
        <v>–</v>
      </c>
      <c r="L16" s="2" t="s">
        <v>442</v>
      </c>
    </row>
    <row r="17" spans="2:12" x14ac:dyDescent="0.25">
      <c r="B17" s="2" t="s">
        <v>465</v>
      </c>
      <c r="C17" s="2" t="str">
        <f>INDEX(DB_PODPOR!$K:$K,MATCH(EZ_ZAKL!$G17,DB_PODPOR!$B:$B,0))</f>
        <v>Vinice a chmelnice</v>
      </c>
      <c r="D17" s="51">
        <v>0</v>
      </c>
      <c r="E17" s="3">
        <f>IF(ROZCESTNIK!$F$3="EUR",INDEX(DB_PODPOR!$E:$E,MATCH($G17,DB_PODPOR!$B:$B,0)),INDEX(DB_PODPOR!$D:$D,MATCH($G17,DB_PODPOR!$B:$B,0)))</f>
        <v>847</v>
      </c>
      <c r="F17" s="36" t="str">
        <f>ROZCESTNIK!$F$3</f>
        <v>EUR</v>
      </c>
      <c r="G17" s="4" t="s">
        <v>240</v>
      </c>
      <c r="H17" s="3" t="str">
        <f t="shared" si="0"/>
        <v>–</v>
      </c>
      <c r="L17" s="2" t="s">
        <v>445</v>
      </c>
    </row>
    <row r="18" spans="2:12" x14ac:dyDescent="0.25">
      <c r="B18" s="2" t="s">
        <v>465</v>
      </c>
      <c r="C18" s="2" t="str">
        <f>INDEX(DB_PODPOR!$K:$K,MATCH(EZ_ZAKL!$G18,DB_PODPOR!$B:$B,0))</f>
        <v>Vinice a chmelnice - konverze</v>
      </c>
      <c r="D18" s="51">
        <v>0</v>
      </c>
      <c r="E18" s="3">
        <f>IF(ROZCESTNIK!$F$3="EUR",INDEX(DB_PODPOR!$E:$E,MATCH($G18,DB_PODPOR!$B:$B,0)),INDEX(DB_PODPOR!$D:$D,MATCH($G18,DB_PODPOR!$B:$B,0)))</f>
        <v>900</v>
      </c>
      <c r="F18" s="36" t="str">
        <f>ROZCESTNIK!$F$3</f>
        <v>EUR</v>
      </c>
      <c r="G18" s="4" t="s">
        <v>241</v>
      </c>
      <c r="H18" s="3" t="str">
        <f t="shared" si="0"/>
        <v>–</v>
      </c>
      <c r="L18" s="2" t="s">
        <v>445</v>
      </c>
    </row>
    <row r="19" spans="2:12" x14ac:dyDescent="0.25">
      <c r="B19" s="7" t="s">
        <v>88</v>
      </c>
      <c r="L19" s="40"/>
    </row>
    <row r="20" spans="2:12" x14ac:dyDescent="0.25">
      <c r="L20" s="34"/>
    </row>
    <row r="21" spans="2:12" x14ac:dyDescent="0.25">
      <c r="L21" s="34"/>
    </row>
    <row r="22" spans="2:12" x14ac:dyDescent="0.25">
      <c r="L22" s="34"/>
    </row>
    <row r="23" spans="2:12" x14ac:dyDescent="0.25">
      <c r="L23" s="34"/>
    </row>
    <row r="24" spans="2:12" x14ac:dyDescent="0.25">
      <c r="L24" s="34"/>
    </row>
    <row r="25" spans="2:12" x14ac:dyDescent="0.25">
      <c r="L25" s="34"/>
    </row>
    <row r="26" spans="2:12" x14ac:dyDescent="0.25">
      <c r="L26" s="34"/>
    </row>
    <row r="27" spans="2:12" x14ac:dyDescent="0.25">
      <c r="L27" s="34"/>
    </row>
    <row r="28" spans="2:12" x14ac:dyDescent="0.25">
      <c r="L28" s="34"/>
    </row>
  </sheetData>
  <sheetProtection algorithmName="SHA-512" hashValue="a98n/ozI7hTRQI8YtQHikkDrj+MzWsxjULSwIVxRTDN3HDwcgFYw4smmxCOhUD/Uhl6QZBhJlEHelWwOmkYnPw==" saltValue="dX1W2tWY0J2LJ6Rk1YhMwg==" spinCount="100000" sheet="1" objects="1" scenarios="1" selectLockedCells="1"/>
  <conditionalFormatting sqref="D5:D18">
    <cfRule type="expression" dxfId="13" priority="2">
      <formula>$D5=0</formula>
    </cfRule>
  </conditionalFormatting>
  <conditionalFormatting sqref="D4">
    <cfRule type="expression" dxfId="12" priority="1">
      <formula>COUNTIF(EZ_ZAKL_plocha_zdroj,0)=COUNTA(EZ_ZAKL_titul_zdroj)</formula>
    </cfRule>
  </conditionalFormatting>
  <hyperlinks>
    <hyperlink ref="B2" location="ROZCESTNIK!B3" display="← Zpět na úvodní stranu" xr:uid="{A05C918B-8FB9-4C3D-A15B-688E69C06CE1}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75B6F-FD43-48A9-966F-AEBCE8D4D73B}">
  <sheetPr codeName="List16"/>
  <dimension ref="B1:L7"/>
  <sheetViews>
    <sheetView zoomScaleNormal="100" workbookViewId="0">
      <selection activeCell="B2" activeCellId="1" sqref="D5:D6 B2"/>
    </sheetView>
  </sheetViews>
  <sheetFormatPr defaultRowHeight="15" x14ac:dyDescent="0.25"/>
  <cols>
    <col min="1" max="1" width="1.7109375" style="1" customWidth="1"/>
    <col min="2" max="2" width="47.7109375" style="1" customWidth="1"/>
    <col min="3" max="3" width="52.7109375" style="1" customWidth="1"/>
    <col min="4" max="6" width="16.7109375" style="1" customWidth="1"/>
    <col min="7" max="7" width="1.7109375" style="1" customWidth="1"/>
    <col min="8" max="8" width="16.7109375" style="1" customWidth="1"/>
    <col min="9" max="9" width="1.7109375" style="1" customWidth="1"/>
    <col min="10" max="10" width="16.7109375" style="1" customWidth="1"/>
    <col min="11" max="11" width="1.7109375" style="1" customWidth="1"/>
    <col min="12" max="12" width="60.7109375" style="1" customWidth="1"/>
    <col min="13" max="16384" width="9.140625" style="1"/>
  </cols>
  <sheetData>
    <row r="1" spans="2:12" ht="8.1" customHeight="1" x14ac:dyDescent="0.25"/>
    <row r="2" spans="2:12" x14ac:dyDescent="0.25">
      <c r="B2" s="53" t="s">
        <v>345</v>
      </c>
    </row>
    <row r="3" spans="2:12" ht="8.1" customHeight="1" x14ac:dyDescent="0.25"/>
    <row r="4" spans="2:12" ht="30" customHeight="1" x14ac:dyDescent="0.25">
      <c r="B4" s="12" t="s">
        <v>0</v>
      </c>
      <c r="C4" s="12" t="s">
        <v>1</v>
      </c>
      <c r="D4" s="19" t="s">
        <v>346</v>
      </c>
      <c r="E4" s="12" t="s">
        <v>23</v>
      </c>
      <c r="F4" s="12" t="s">
        <v>401</v>
      </c>
      <c r="H4" s="13" t="s">
        <v>347</v>
      </c>
      <c r="J4" s="13" t="s">
        <v>2</v>
      </c>
      <c r="L4" s="39" t="s">
        <v>411</v>
      </c>
    </row>
    <row r="5" spans="2:12" x14ac:dyDescent="0.25">
      <c r="B5" s="2" t="s">
        <v>94</v>
      </c>
      <c r="C5" s="2" t="str">
        <f>INDEX(DB_PODPOR!$K:$K,MATCH(NAT_2000!$G5,DB_PODPOR!$B:$B,0))</f>
        <v>Oblasti se zákazem hnojit (I. zóny CHKO)</v>
      </c>
      <c r="D5" s="51">
        <v>0</v>
      </c>
      <c r="E5" s="3">
        <f>IF(ROZCESTNIK!$F$3="EUR",INDEX(DB_PODPOR!$E:$E,MATCH($G5,DB_PODPOR!$B:$B,0)),INDEX(DB_PODPOR!$D:$D,MATCH($G5,DB_PODPOR!$B:$B,0)))</f>
        <v>95</v>
      </c>
      <c r="F5" s="36" t="str">
        <f>ROZCESTNIK!$F$3</f>
        <v>EUR</v>
      </c>
      <c r="G5" s="4" t="s">
        <v>390</v>
      </c>
      <c r="H5" s="3" t="str">
        <f>IF($D5&gt;0,$D5*$E5,"–")</f>
        <v>–</v>
      </c>
      <c r="J5" s="3" t="str">
        <f ca="1">IF(SUM(NAT_2000_plocha_zdroj)=0,"–",SUMPRODUCT(NAT_2000_plocha_zdroj,NAT_2000_sazba_zdroj))</f>
        <v>–</v>
      </c>
      <c r="L5" s="2" t="s">
        <v>446</v>
      </c>
    </row>
    <row r="6" spans="2:12" x14ac:dyDescent="0.25">
      <c r="B6" s="2" t="s">
        <v>94</v>
      </c>
      <c r="C6" s="2" t="str">
        <f>INDEX(DB_PODPOR!$K:$K,MATCH(NAT_2000!$G6,DB_PODPOR!$B:$B,0))</f>
        <v>Oblasti se zákazem hnojení průmyslovými hnojivy (NP)</v>
      </c>
      <c r="D6" s="51">
        <v>0</v>
      </c>
      <c r="E6" s="3">
        <f>IF(ROZCESTNIK!$F$3="EUR",INDEX(DB_PODPOR!$E:$E,MATCH($G6,DB_PODPOR!$B:$B,0)),INDEX(DB_PODPOR!$D:$D,MATCH($G6,DB_PODPOR!$B:$B,0)))</f>
        <v>56</v>
      </c>
      <c r="F6" s="36" t="str">
        <f>ROZCESTNIK!$F$3</f>
        <v>EUR</v>
      </c>
      <c r="G6" s="4" t="s">
        <v>391</v>
      </c>
      <c r="H6" s="3" t="str">
        <f>IF($D6&gt;0,$D6*$E6,"–")</f>
        <v>–</v>
      </c>
      <c r="L6" s="2" t="s">
        <v>447</v>
      </c>
    </row>
    <row r="7" spans="2:12" x14ac:dyDescent="0.25">
      <c r="B7" s="7" t="s">
        <v>355</v>
      </c>
    </row>
  </sheetData>
  <sheetProtection algorithmName="SHA-512" hashValue="OAS7SmmruVFolROMTmUM4vYpzM8CjNWaDR/PScvjckiX3yR53cu93wlHw1ZtJS0XvxmryWvgslPB0n6gEIXrWQ==" saltValue="xJJ9SF20u18JltUv+vyJpQ==" spinCount="100000" sheet="1" objects="1" scenarios="1" selectLockedCells="1"/>
  <phoneticPr fontId="2" type="noConversion"/>
  <conditionalFormatting sqref="D5:D6">
    <cfRule type="expression" dxfId="11" priority="2">
      <formula>$D5=0</formula>
    </cfRule>
  </conditionalFormatting>
  <conditionalFormatting sqref="D4">
    <cfRule type="expression" dxfId="10" priority="1">
      <formula>COUNTIF(NAT_2000_plocha_zdroj,0)=COUNTA(NAT_2000_titul_zdroj)</formula>
    </cfRule>
  </conditionalFormatting>
  <hyperlinks>
    <hyperlink ref="B2" location="ROZCESTNIK!B3" display="← Zpět na úvodní stranu" xr:uid="{4E2491DF-98D9-4615-8041-E5A6B3678536}"/>
  </hyperlink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9A1CF-1DE4-43AD-8F08-525A5D5550E5}">
  <sheetPr codeName="List17"/>
  <dimension ref="B1:L11"/>
  <sheetViews>
    <sheetView zoomScaleNormal="100" workbookViewId="0">
      <selection activeCell="B2" activeCellId="1" sqref="D5:D10 B2"/>
    </sheetView>
  </sheetViews>
  <sheetFormatPr defaultRowHeight="15" x14ac:dyDescent="0.25"/>
  <cols>
    <col min="1" max="1" width="1.7109375" style="1" customWidth="1"/>
    <col min="2" max="3" width="42.7109375" style="1" customWidth="1"/>
    <col min="4" max="6" width="16.7109375" style="1" customWidth="1"/>
    <col min="7" max="7" width="1.7109375" style="1" customWidth="1"/>
    <col min="8" max="8" width="16.7109375" style="1" customWidth="1"/>
    <col min="9" max="9" width="1.7109375" style="1" customWidth="1"/>
    <col min="10" max="10" width="16.7109375" style="1" customWidth="1"/>
    <col min="11" max="11" width="1.7109375" style="1" customWidth="1"/>
    <col min="12" max="12" width="60.7109375" style="1" customWidth="1"/>
    <col min="13" max="16384" width="9.140625" style="1"/>
  </cols>
  <sheetData>
    <row r="1" spans="2:12" ht="8.1" customHeight="1" x14ac:dyDescent="0.25"/>
    <row r="2" spans="2:12" x14ac:dyDescent="0.25">
      <c r="B2" s="53" t="s">
        <v>345</v>
      </c>
    </row>
    <row r="3" spans="2:12" ht="8.1" customHeight="1" x14ac:dyDescent="0.25"/>
    <row r="4" spans="2:12" ht="30" customHeight="1" x14ac:dyDescent="0.25">
      <c r="B4" s="12" t="s">
        <v>0</v>
      </c>
      <c r="C4" s="12" t="s">
        <v>1</v>
      </c>
      <c r="D4" s="19" t="s">
        <v>413</v>
      </c>
      <c r="E4" s="12" t="s">
        <v>23</v>
      </c>
      <c r="F4" s="12" t="s">
        <v>401</v>
      </c>
      <c r="H4" s="13" t="s">
        <v>347</v>
      </c>
      <c r="J4" s="13" t="s">
        <v>2</v>
      </c>
      <c r="L4" s="39" t="s">
        <v>411</v>
      </c>
    </row>
    <row r="5" spans="2:12" x14ac:dyDescent="0.25">
      <c r="B5" s="2" t="s">
        <v>19</v>
      </c>
      <c r="C5" s="2" t="str">
        <f>INDEX(DB_PODPOR!$K:$K,MATCH(DZPZ!$G5,DB_PODPOR!$B:$B,0))</f>
        <v>Životní podmínky prasniček</v>
      </c>
      <c r="D5" s="51">
        <v>0</v>
      </c>
      <c r="E5" s="3">
        <f>IF(ROZCESTNIK!$F$3="EUR",INDEX(DB_PODPOR!$E:$E,MATCH($G5,DB_PODPOR!$B:$B,0)),INDEX(DB_PODPOR!$D:$D,MATCH($G5,DB_PODPOR!$B:$B,0)))</f>
        <v>33</v>
      </c>
      <c r="F5" s="36" t="str">
        <f>ROZCESTNIK!$F$3</f>
        <v>EUR</v>
      </c>
      <c r="G5" s="4" t="s">
        <v>246</v>
      </c>
      <c r="H5" s="3" t="str">
        <f t="shared" ref="H5:H10" si="0">IF($D5&gt;0,$D5*$E5,"–")</f>
        <v>–</v>
      </c>
      <c r="J5" s="3" t="str">
        <f ca="1">IF(SUM(DZPZ_plocha_zdroj)=0,"–",SUMPRODUCT(DZPZ_plocha_zdroj,DZPZ_sazba_zdroj))</f>
        <v>–</v>
      </c>
      <c r="L5" s="2" t="s">
        <v>448</v>
      </c>
    </row>
    <row r="6" spans="2:12" x14ac:dyDescent="0.25">
      <c r="B6" s="2" t="s">
        <v>19</v>
      </c>
      <c r="C6" s="2" t="str">
        <f>INDEX(DB_PODPOR!$K:$K,MATCH(DZPZ!$G6,DB_PODPOR!$B:$B,0))</f>
        <v>Životní podmínky prasnic</v>
      </c>
      <c r="D6" s="51">
        <v>0</v>
      </c>
      <c r="E6" s="3">
        <f>IF(ROZCESTNIK!$F$3="EUR",INDEX(DB_PODPOR!$E:$E,MATCH($G6,DB_PODPOR!$B:$B,0)),INDEX(DB_PODPOR!$D:$D,MATCH($G6,DB_PODPOR!$B:$B,0)))</f>
        <v>61</v>
      </c>
      <c r="F6" s="36" t="str">
        <f>ROZCESTNIK!$F$3</f>
        <v>EUR</v>
      </c>
      <c r="G6" s="4" t="s">
        <v>247</v>
      </c>
      <c r="H6" s="3" t="str">
        <f t="shared" si="0"/>
        <v>–</v>
      </c>
      <c r="L6" s="2" t="s">
        <v>449</v>
      </c>
    </row>
    <row r="7" spans="2:12" x14ac:dyDescent="0.25">
      <c r="B7" s="2" t="s">
        <v>19</v>
      </c>
      <c r="C7" s="2" t="str">
        <f>INDEX(DB_PODPOR!$K:$K,MATCH(DZPZ!$G7,DB_PODPOR!$B:$B,0))</f>
        <v>Plocha pro odstavená selata</v>
      </c>
      <c r="D7" s="51">
        <v>0</v>
      </c>
      <c r="E7" s="3">
        <f>IF(ROZCESTNIK!$F$3="EUR",INDEX(DB_PODPOR!$E:$E,MATCH($G7,DB_PODPOR!$B:$B,0)),INDEX(DB_PODPOR!$D:$D,MATCH($G7,DB_PODPOR!$B:$B,0)))</f>
        <v>75</v>
      </c>
      <c r="F7" s="36" t="str">
        <f>ROZCESTNIK!$F$3</f>
        <v>EUR</v>
      </c>
      <c r="G7" s="4" t="s">
        <v>248</v>
      </c>
      <c r="H7" s="3" t="str">
        <f t="shared" si="0"/>
        <v>–</v>
      </c>
      <c r="L7" s="2" t="s">
        <v>450</v>
      </c>
    </row>
    <row r="8" spans="2:12" x14ac:dyDescent="0.25">
      <c r="B8" s="2" t="s">
        <v>19</v>
      </c>
      <c r="C8" s="2" t="str">
        <f>INDEX(DB_PODPOR!$K:$K,MATCH(DZPZ!$G8,DB_PODPOR!$B:$B,0))</f>
        <v>Stájové prostředí dojeného skotu</v>
      </c>
      <c r="D8" s="51">
        <v>0</v>
      </c>
      <c r="E8" s="3">
        <f>IF(ROZCESTNIK!$F$3="EUR",INDEX(DB_PODPOR!$E:$E,MATCH($G8,DB_PODPOR!$B:$B,0)),INDEX(DB_PODPOR!$D:$D,MATCH($G8,DB_PODPOR!$B:$B,0)))</f>
        <v>60</v>
      </c>
      <c r="F8" s="36" t="str">
        <f>ROZCESTNIK!$F$3</f>
        <v>EUR</v>
      </c>
      <c r="G8" s="4" t="s">
        <v>251</v>
      </c>
      <c r="H8" s="3" t="str">
        <f t="shared" si="0"/>
        <v>–</v>
      </c>
      <c r="L8" s="2" t="s">
        <v>451</v>
      </c>
    </row>
    <row r="9" spans="2:12" x14ac:dyDescent="0.25">
      <c r="B9" s="2" t="s">
        <v>19</v>
      </c>
      <c r="C9" s="2" t="str">
        <f>INDEX(DB_PODPOR!$K:$K,MATCH(DZPZ!$G9,DB_PODPOR!$B:$B,0))</f>
        <v>Zvětšení lehacího prostoru v chovu dojnic</v>
      </c>
      <c r="D9" s="51">
        <v>0</v>
      </c>
      <c r="E9" s="3">
        <f>IF(ROZCESTNIK!$F$3="EUR",INDEX(DB_PODPOR!$E:$E,MATCH($G9,DB_PODPOR!$B:$B,0)),INDEX(DB_PODPOR!$D:$D,MATCH($G9,DB_PODPOR!$B:$B,0)))</f>
        <v>16</v>
      </c>
      <c r="F9" s="36" t="str">
        <f>ROZCESTNIK!$F$3</f>
        <v>EUR</v>
      </c>
      <c r="G9" s="4" t="s">
        <v>468</v>
      </c>
      <c r="H9" s="3" t="str">
        <f t="shared" si="0"/>
        <v>–</v>
      </c>
      <c r="L9" s="2" t="s">
        <v>452</v>
      </c>
    </row>
    <row r="10" spans="2:12" x14ac:dyDescent="0.25">
      <c r="B10" s="2" t="s">
        <v>19</v>
      </c>
      <c r="C10" s="2" t="str">
        <f>INDEX(DB_PODPOR!$K:$K,MATCH(DZPZ!$G10,DB_PODPOR!$B:$B,0))</f>
        <v>Výběh pro suchostojné krávy</v>
      </c>
      <c r="D10" s="51">
        <v>0</v>
      </c>
      <c r="E10" s="3">
        <f>IF(ROZCESTNIK!$F$3="EUR",INDEX(DB_PODPOR!$E:$E,MATCH($G10,DB_PODPOR!$B:$B,0)),INDEX(DB_PODPOR!$D:$D,MATCH($G10,DB_PODPOR!$B:$B,0)))</f>
        <v>44</v>
      </c>
      <c r="F10" s="36" t="str">
        <f>ROZCESTNIK!$F$3</f>
        <v>EUR</v>
      </c>
      <c r="G10" s="4" t="s">
        <v>252</v>
      </c>
      <c r="H10" s="3" t="str">
        <f t="shared" si="0"/>
        <v>–</v>
      </c>
      <c r="L10" s="2" t="s">
        <v>453</v>
      </c>
    </row>
    <row r="11" spans="2:12" x14ac:dyDescent="0.25">
      <c r="B11" s="7" t="s">
        <v>19</v>
      </c>
    </row>
  </sheetData>
  <sheetProtection algorithmName="SHA-512" hashValue="SGBn8R9EWANW0y3h7rVp4yYXaZ4gJFO7LJTFjon4cVGwukEFhL6+nv0V1mqKg4ODMbjPT3J61IqLFhq1hGbROQ==" saltValue="nYDgippqHdp12fDD4yWFlA==" spinCount="100000" sheet="1" objects="1" scenarios="1" selectLockedCells="1"/>
  <conditionalFormatting sqref="D4">
    <cfRule type="expression" dxfId="9" priority="2">
      <formula>COUNTIF(DZPZ_plocha_zdroj,0)=COUNTA(DZPZ_titul_zdroj)</formula>
    </cfRule>
  </conditionalFormatting>
  <conditionalFormatting sqref="D5:D10">
    <cfRule type="expression" dxfId="8" priority="1">
      <formula>$D5=0</formula>
    </cfRule>
  </conditionalFormatting>
  <hyperlinks>
    <hyperlink ref="B2" location="ROZCESTNIK!B3" display="← Zpět na úvodní stranu" xr:uid="{02141E86-0F32-4612-A0C4-8AC1CB806A5B}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4DE56-2007-415B-845F-133E06534290}">
  <sheetPr codeName="List18"/>
  <dimension ref="B1:L9"/>
  <sheetViews>
    <sheetView zoomScaleNormal="100" workbookViewId="0">
      <selection activeCell="D15" sqref="D15"/>
    </sheetView>
  </sheetViews>
  <sheetFormatPr defaultRowHeight="15" x14ac:dyDescent="0.25"/>
  <cols>
    <col min="1" max="1" width="1.7109375" style="1" customWidth="1"/>
    <col min="2" max="3" width="42.7109375" style="1" customWidth="1"/>
    <col min="4" max="6" width="16.7109375" style="1" customWidth="1"/>
    <col min="7" max="7" width="1.7109375" style="1" customWidth="1"/>
    <col min="8" max="8" width="16.7109375" style="1" customWidth="1"/>
    <col min="9" max="9" width="1.7109375" style="1" customWidth="1"/>
    <col min="10" max="10" width="16.7109375" style="1" customWidth="1"/>
    <col min="11" max="11" width="1.7109375" style="1" customWidth="1"/>
    <col min="12" max="12" width="60.7109375" style="1" customWidth="1"/>
    <col min="13" max="16384" width="9.140625" style="1"/>
  </cols>
  <sheetData>
    <row r="1" spans="2:12" ht="8.1" customHeight="1" x14ac:dyDescent="0.25"/>
    <row r="2" spans="2:12" x14ac:dyDescent="0.25">
      <c r="B2" s="15" t="s">
        <v>345</v>
      </c>
    </row>
    <row r="3" spans="2:12" ht="8.1" customHeight="1" x14ac:dyDescent="0.25"/>
    <row r="4" spans="2:12" ht="30" customHeight="1" x14ac:dyDescent="0.25">
      <c r="B4" s="12" t="s">
        <v>0</v>
      </c>
      <c r="C4" s="12" t="s">
        <v>1</v>
      </c>
      <c r="D4" s="19" t="s">
        <v>413</v>
      </c>
      <c r="E4" s="12" t="s">
        <v>23</v>
      </c>
      <c r="F4" s="12" t="s">
        <v>401</v>
      </c>
      <c r="H4" s="13" t="s">
        <v>347</v>
      </c>
      <c r="J4" s="13" t="s">
        <v>2</v>
      </c>
      <c r="L4" s="39" t="s">
        <v>411</v>
      </c>
    </row>
    <row r="5" spans="2:12" x14ac:dyDescent="0.25">
      <c r="B5" s="2" t="s">
        <v>99</v>
      </c>
      <c r="C5" s="2" t="str">
        <f>INDEX(DB_PODPOR!$K:$K,MATCH(ANTIM!$G5,DB_PODPOR!$B:$B,0))</f>
        <v>Vakcinace prasnic</v>
      </c>
      <c r="D5" s="3">
        <v>0</v>
      </c>
      <c r="E5" s="3">
        <f>IF(ROZCESTNIK!$F$3="EUR",INDEX(DB_PODPOR!$E:$E,MATCH($G5,DB_PODPOR!$B:$B,0)),INDEX(DB_PODPOR!$D:$D,MATCH($G5,DB_PODPOR!$B:$B,0)))</f>
        <v>0</v>
      </c>
      <c r="F5" s="36" t="str">
        <f>ROZCESTNIK!$F$3</f>
        <v>EUR</v>
      </c>
      <c r="G5" s="4" t="s">
        <v>255</v>
      </c>
      <c r="H5" s="3" t="str">
        <f t="shared" ref="H5:H8" si="0">IF($D5&gt;0,$D5*$E5,"–")</f>
        <v>–</v>
      </c>
      <c r="J5" s="3" t="str">
        <f ca="1">IF(SUM(ANTIM_plocha_zdroj)=0,"–",SUMPRODUCT(ANTIM_plocha_zdroj,ANTIM_sazba_zdroj))</f>
        <v>–</v>
      </c>
      <c r="L5" s="2" t="s">
        <v>449</v>
      </c>
    </row>
    <row r="6" spans="2:12" x14ac:dyDescent="0.25">
      <c r="B6" s="2" t="s">
        <v>99</v>
      </c>
      <c r="C6" s="2" t="str">
        <f>INDEX(DB_PODPOR!$K:$K,MATCH(ANTIM!$G6,DB_PODPOR!$B:$B,0))</f>
        <v>Vakcinace prasniček</v>
      </c>
      <c r="D6" s="3">
        <v>0</v>
      </c>
      <c r="E6" s="3">
        <f>IF(ROZCESTNIK!$F$3="EUR",INDEX(DB_PODPOR!$E:$E,MATCH($G6,DB_PODPOR!$B:$B,0)),INDEX(DB_PODPOR!$D:$D,MATCH($G6,DB_PODPOR!$B:$B,0)))</f>
        <v>0</v>
      </c>
      <c r="F6" s="36" t="str">
        <f>ROZCESTNIK!$F$3</f>
        <v>EUR</v>
      </c>
      <c r="G6" s="4" t="s">
        <v>256</v>
      </c>
      <c r="H6" s="3" t="str">
        <f t="shared" si="0"/>
        <v>–</v>
      </c>
      <c r="L6" s="2" t="s">
        <v>454</v>
      </c>
    </row>
    <row r="7" spans="2:12" x14ac:dyDescent="0.25">
      <c r="B7" s="2" t="s">
        <v>99</v>
      </c>
      <c r="C7" s="2" t="str">
        <f>INDEX(DB_PODPOR!$K:$K,MATCH(ANTIM!$G7,DB_PODPOR!$B:$B,0))</f>
        <v>Vakcinace odstavených selat v předvýkrmu</v>
      </c>
      <c r="D7" s="3">
        <v>0</v>
      </c>
      <c r="E7" s="3">
        <f>IF(ROZCESTNIK!$F$3="EUR",INDEX(DB_PODPOR!$E:$E,MATCH($G7,DB_PODPOR!$B:$B,0)),INDEX(DB_PODPOR!$D:$D,MATCH($G7,DB_PODPOR!$B:$B,0)))</f>
        <v>0</v>
      </c>
      <c r="F7" s="36" t="str">
        <f>ROZCESTNIK!$F$3</f>
        <v>EUR</v>
      </c>
      <c r="G7" s="4" t="s">
        <v>257</v>
      </c>
      <c r="H7" s="3" t="str">
        <f t="shared" si="0"/>
        <v>–</v>
      </c>
      <c r="L7" s="2" t="s">
        <v>455</v>
      </c>
    </row>
    <row r="8" spans="2:12" x14ac:dyDescent="0.25">
      <c r="B8" s="2" t="s">
        <v>99</v>
      </c>
      <c r="C8" s="2" t="str">
        <f>INDEX(DB_PODPOR!$K:$K,MATCH(ANTIM!$G8,DB_PODPOR!$B:$B,0))</f>
        <v>Vakcinace selat ve výkrmu</v>
      </c>
      <c r="D8" s="3">
        <v>0</v>
      </c>
      <c r="E8" s="3">
        <f>IF(ROZCESTNIK!$F$3="EUR",INDEX(DB_PODPOR!$E:$E,MATCH($G8,DB_PODPOR!$B:$B,0)),INDEX(DB_PODPOR!$D:$D,MATCH($G8,DB_PODPOR!$B:$B,0)))</f>
        <v>0</v>
      </c>
      <c r="F8" s="36" t="str">
        <f>ROZCESTNIK!$F$3</f>
        <v>EUR</v>
      </c>
      <c r="G8" s="4" t="s">
        <v>259</v>
      </c>
      <c r="H8" s="3" t="str">
        <f t="shared" si="0"/>
        <v>–</v>
      </c>
      <c r="L8" s="2" t="s">
        <v>456</v>
      </c>
    </row>
    <row r="9" spans="2:12" x14ac:dyDescent="0.25">
      <c r="B9" s="7" t="s">
        <v>99</v>
      </c>
    </row>
  </sheetData>
  <conditionalFormatting sqref="D5:D8">
    <cfRule type="expression" dxfId="7" priority="3">
      <formula>$D5=0</formula>
    </cfRule>
  </conditionalFormatting>
  <conditionalFormatting sqref="D4">
    <cfRule type="expression" dxfId="6" priority="1">
      <formula>COUNTIF(ANTIM_plocha_zdroj,0)=COUNTA(ANTIM_titul_zdroj)</formula>
    </cfRule>
  </conditionalFormatting>
  <hyperlinks>
    <hyperlink ref="B2" location="ROZCESTNIK!B3" display="← Zpět na úvodní stranu" xr:uid="{69E214F7-7D90-4AE4-9703-D99D6F44D6D3}"/>
  </hyperlink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317DE-19D4-4955-959C-FDCBABFE2AB9}">
  <sheetPr codeName="List19"/>
  <dimension ref="B1:L10"/>
  <sheetViews>
    <sheetView zoomScaleNormal="100" workbookViewId="0">
      <selection activeCell="B2" activeCellId="1" sqref="D5:D9 B2"/>
    </sheetView>
  </sheetViews>
  <sheetFormatPr defaultRowHeight="15" x14ac:dyDescent="0.25"/>
  <cols>
    <col min="1" max="1" width="1.7109375" style="1" customWidth="1"/>
    <col min="2" max="2" width="42.7109375" style="1" customWidth="1"/>
    <col min="3" max="3" width="84.7109375" style="1" customWidth="1"/>
    <col min="4" max="6" width="16.7109375" style="1" customWidth="1"/>
    <col min="7" max="7" width="1.7109375" style="1" customWidth="1"/>
    <col min="8" max="8" width="16.7109375" style="1" customWidth="1"/>
    <col min="9" max="9" width="1.7109375" style="1" customWidth="1"/>
    <col min="10" max="10" width="16.7109375" style="1" customWidth="1"/>
    <col min="11" max="11" width="1.7109375" style="1" customWidth="1"/>
    <col min="12" max="12" width="65.85546875" style="1" bestFit="1" customWidth="1"/>
    <col min="13" max="16384" width="9.140625" style="1"/>
  </cols>
  <sheetData>
    <row r="1" spans="2:12" ht="8.1" customHeight="1" x14ac:dyDescent="0.25"/>
    <row r="2" spans="2:12" x14ac:dyDescent="0.25">
      <c r="B2" s="53" t="s">
        <v>345</v>
      </c>
    </row>
    <row r="3" spans="2:12" ht="8.1" customHeight="1" x14ac:dyDescent="0.25"/>
    <row r="4" spans="2:12" ht="30" customHeight="1" x14ac:dyDescent="0.25">
      <c r="B4" s="12" t="s">
        <v>0</v>
      </c>
      <c r="C4" s="12" t="s">
        <v>1</v>
      </c>
      <c r="D4" s="19" t="s">
        <v>346</v>
      </c>
      <c r="E4" s="12" t="s">
        <v>23</v>
      </c>
      <c r="F4" s="12" t="s">
        <v>401</v>
      </c>
      <c r="H4" s="13" t="s">
        <v>347</v>
      </c>
      <c r="J4" s="13" t="s">
        <v>2</v>
      </c>
      <c r="L4" s="39" t="s">
        <v>411</v>
      </c>
    </row>
    <row r="5" spans="2:12" x14ac:dyDescent="0.25">
      <c r="B5" s="2" t="s">
        <v>102</v>
      </c>
      <c r="C5" s="2" t="str">
        <f>INDEX(DB_PODPOR!$K:$K,MATCH(LES_ZALES!$G5,DB_PODPOR!$B:$B,0))</f>
        <v>Založení lesního porostu - jedle, borovice, buk, dub, lípa, douglaska</v>
      </c>
      <c r="D5" s="51">
        <v>0</v>
      </c>
      <c r="E5" s="3">
        <f>IF(ROZCESTNIK!$F$3="EUR",INDEX(DB_PODPOR!$E:$E,MATCH($G5,DB_PODPOR!$B:$B,0)),INDEX(DB_PODPOR!$D:$D,MATCH($G5,DB_PODPOR!$B:$B,0)))</f>
        <v>3879</v>
      </c>
      <c r="F5" s="36" t="str">
        <f>ROZCESTNIK!$F$3</f>
        <v>EUR</v>
      </c>
      <c r="G5" s="4" t="s">
        <v>394</v>
      </c>
      <c r="H5" s="3" t="str">
        <f>IF($D5&gt;0,$D5*$E5,"–")</f>
        <v>–</v>
      </c>
      <c r="J5" s="3" t="str">
        <f ca="1">IF(SUM(LES_ZALES_plocha_zdroj)=0,"–",SUMPRODUCT(LES_ZALES_plocha_zdroj,LES_ZALES_sazba_zdroj))</f>
        <v>–</v>
      </c>
      <c r="L5" s="2" t="s">
        <v>457</v>
      </c>
    </row>
    <row r="6" spans="2:12" x14ac:dyDescent="0.25">
      <c r="B6" s="2" t="s">
        <v>102</v>
      </c>
      <c r="C6" s="2" t="str">
        <f>INDEX(DB_PODPOR!$K:$K,MATCH(LES_ZALES!$G6,DB_PODPOR!$B:$B,0))</f>
        <v>Založení lesního porostu - ostatní dřeviny</v>
      </c>
      <c r="D6" s="51">
        <v>0</v>
      </c>
      <c r="E6" s="3">
        <f>IF(ROZCESTNIK!$F$3="EUR",INDEX(DB_PODPOR!$E:$E,MATCH($G6,DB_PODPOR!$B:$B,0)),INDEX(DB_PODPOR!$D:$D,MATCH($G6,DB_PODPOR!$B:$B,0)))</f>
        <v>2923</v>
      </c>
      <c r="F6" s="36" t="str">
        <f>ROZCESTNIK!$F$3</f>
        <v>EUR</v>
      </c>
      <c r="G6" s="4" t="s">
        <v>395</v>
      </c>
      <c r="H6" s="3" t="str">
        <f>IF($D6&gt;0,$D6*$E6,"–")</f>
        <v>–</v>
      </c>
      <c r="J6" s="29"/>
      <c r="L6" s="2" t="s">
        <v>457</v>
      </c>
    </row>
    <row r="7" spans="2:12" x14ac:dyDescent="0.25">
      <c r="B7" s="2" t="s">
        <v>102</v>
      </c>
      <c r="C7" s="2" t="str">
        <f>INDEX(DB_PODPOR!$K:$K,MATCH(LES_ZALES!$G7,DB_PODPOR!$B:$B,0))</f>
        <v>Péče o založený lesní porost</v>
      </c>
      <c r="D7" s="51">
        <v>0</v>
      </c>
      <c r="E7" s="3">
        <f>IF(ROZCESTNIK!$F$3="EUR",INDEX(DB_PODPOR!$E:$E,MATCH($G7,DB_PODPOR!$B:$B,0)),INDEX(DB_PODPOR!$D:$D,MATCH($G7,DB_PODPOR!$B:$B,0)))</f>
        <v>643</v>
      </c>
      <c r="F7" s="36" t="str">
        <f>ROZCESTNIK!$F$3</f>
        <v>EUR</v>
      </c>
      <c r="G7" s="4" t="s">
        <v>266</v>
      </c>
      <c r="H7" s="3" t="str">
        <f>IF($D7&gt;0,$D7*$E7,"–")</f>
        <v>–</v>
      </c>
      <c r="L7" s="2" t="s">
        <v>458</v>
      </c>
    </row>
    <row r="8" spans="2:12" x14ac:dyDescent="0.25">
      <c r="B8" s="2" t="s">
        <v>102</v>
      </c>
      <c r="C8" s="2" t="str">
        <f>INDEX(DB_PODPOR!$K:$K,MATCH(LES_ZALES!$G8,DB_PODPOR!$B:$B,0))</f>
        <v>Náhrada za ukončení zemědělské výroby - orná půda, chmelnice, vinice, ovocný sad, školka</v>
      </c>
      <c r="D8" s="51">
        <v>0</v>
      </c>
      <c r="E8" s="3">
        <f>IF(ROZCESTNIK!$F$3="EUR",INDEX(DB_PODPOR!$E:$E,MATCH($G8,DB_PODPOR!$B:$B,0)),INDEX(DB_PODPOR!$D:$D,MATCH($G8,DB_PODPOR!$B:$B,0)))</f>
        <v>459</v>
      </c>
      <c r="F8" s="36" t="str">
        <f>ROZCESTNIK!$F$3</f>
        <v>EUR</v>
      </c>
      <c r="G8" s="4" t="s">
        <v>396</v>
      </c>
      <c r="H8" s="3" t="str">
        <f>IF($D8&gt;0,$D8*$E8,"–")</f>
        <v>–</v>
      </c>
      <c r="L8" s="2" t="s">
        <v>458</v>
      </c>
    </row>
    <row r="9" spans="2:12" x14ac:dyDescent="0.25">
      <c r="B9" s="2" t="s">
        <v>102</v>
      </c>
      <c r="C9" s="2" t="str">
        <f>INDEX(DB_PODPOR!$K:$K,MATCH(LES_ZALES!$G9,DB_PODPOR!$B:$B,0))</f>
        <v>Náhrada za ukončení zemědělské výroby - trvalý travní porost nebo jiná trvalá travní kultura</v>
      </c>
      <c r="D9" s="51">
        <v>0</v>
      </c>
      <c r="E9" s="3">
        <f>IF(ROZCESTNIK!$F$3="EUR",INDEX(DB_PODPOR!$E:$E,MATCH($G9,DB_PODPOR!$B:$B,0)),INDEX(DB_PODPOR!$D:$D,MATCH($G9,DB_PODPOR!$B:$B,0)))</f>
        <v>190</v>
      </c>
      <c r="F9" s="36" t="str">
        <f>ROZCESTNIK!$F$3</f>
        <v>EUR</v>
      </c>
      <c r="G9" s="4" t="s">
        <v>397</v>
      </c>
      <c r="H9" s="3" t="str">
        <f>IF($D9&gt;0,$D9*$E9,"–")</f>
        <v>–</v>
      </c>
      <c r="L9" s="2" t="s">
        <v>458</v>
      </c>
    </row>
    <row r="10" spans="2:12" x14ac:dyDescent="0.25">
      <c r="B10" s="7" t="s">
        <v>102</v>
      </c>
    </row>
  </sheetData>
  <sheetProtection algorithmName="SHA-512" hashValue="mq+8KnQIlB7AVsCJ1w5CKaYQomSksEvqJtMMyJOXtC1mn4exKvsiY80umf45ioLAkUYdhJ1V1+V6IhNv/b4wOw==" saltValue="QEK/AFqCUR+LxTg9SmZnag==" spinCount="100000" sheet="1" objects="1" scenarios="1" selectLockedCells="1"/>
  <conditionalFormatting sqref="D4">
    <cfRule type="expression" dxfId="5" priority="2">
      <formula>COUNTIF(LES_ZALES_plocha_zdroj,0)=COUNTA(LES_ZALES_titul_zdroj)</formula>
    </cfRule>
  </conditionalFormatting>
  <conditionalFormatting sqref="D5:D9">
    <cfRule type="expression" dxfId="4" priority="1">
      <formula>$D5=0</formula>
    </cfRule>
  </conditionalFormatting>
  <hyperlinks>
    <hyperlink ref="B2" location="ROZCESTNIK!B3" display="← Zpět na úvodní stranu" xr:uid="{036AC469-64CD-4E43-9B59-F24709FE88F1}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9682E-8928-4C2F-BC41-244AD6C00A79}">
  <sheetPr codeName="List20"/>
  <dimension ref="B1:L7"/>
  <sheetViews>
    <sheetView zoomScaleNormal="100" workbookViewId="0">
      <selection activeCell="B2" activeCellId="1" sqref="D5:D6 B2"/>
    </sheetView>
  </sheetViews>
  <sheetFormatPr defaultRowHeight="15" x14ac:dyDescent="0.25"/>
  <cols>
    <col min="1" max="1" width="1.7109375" style="1" customWidth="1"/>
    <col min="2" max="3" width="42.7109375" style="1" customWidth="1"/>
    <col min="4" max="6" width="16.7109375" style="1" customWidth="1"/>
    <col min="7" max="7" width="1.7109375" style="1" customWidth="1"/>
    <col min="8" max="8" width="16.7109375" style="1" customWidth="1"/>
    <col min="9" max="9" width="1.7109375" style="1" customWidth="1"/>
    <col min="10" max="10" width="16.7109375" style="1" customWidth="1"/>
    <col min="11" max="11" width="1.7109375" style="1" customWidth="1"/>
    <col min="12" max="12" width="69.7109375" style="1" bestFit="1" customWidth="1"/>
    <col min="13" max="16384" width="9.140625" style="1"/>
  </cols>
  <sheetData>
    <row r="1" spans="2:12" ht="8.1" customHeight="1" x14ac:dyDescent="0.25"/>
    <row r="2" spans="2:12" x14ac:dyDescent="0.25">
      <c r="B2" s="53" t="s">
        <v>345</v>
      </c>
    </row>
    <row r="3" spans="2:12" ht="8.1" customHeight="1" x14ac:dyDescent="0.25"/>
    <row r="4" spans="2:12" ht="30" customHeight="1" x14ac:dyDescent="0.25">
      <c r="B4" s="12" t="s">
        <v>0</v>
      </c>
      <c r="C4" s="12" t="s">
        <v>1</v>
      </c>
      <c r="D4" s="19" t="s">
        <v>346</v>
      </c>
      <c r="E4" s="12" t="s">
        <v>23</v>
      </c>
      <c r="F4" s="12" t="s">
        <v>401</v>
      </c>
      <c r="H4" s="13" t="s">
        <v>347</v>
      </c>
      <c r="J4" s="13" t="s">
        <v>2</v>
      </c>
      <c r="L4" s="39" t="s">
        <v>411</v>
      </c>
    </row>
    <row r="5" spans="2:12" x14ac:dyDescent="0.25">
      <c r="B5" s="2" t="s">
        <v>466</v>
      </c>
      <c r="C5" s="2" t="str">
        <f>INDEX(DB_PODPOR!$K:$K,MATCH(LES_AGROLES!$G5,DB_PODPOR!$B:$B,0))</f>
        <v>Založení agrolesnického systému</v>
      </c>
      <c r="D5" s="51">
        <v>0</v>
      </c>
      <c r="E5" s="3">
        <f>IF(ROZCESTNIK!$F$3="EUR",INDEX(DB_PODPOR!$E:$E,MATCH($G5,DB_PODPOR!$B:$B,0)),INDEX(DB_PODPOR!$D:$D,MATCH($G5,DB_PODPOR!$B:$B,0)))</f>
        <v>4353</v>
      </c>
      <c r="F5" s="36" t="str">
        <f>ROZCESTNIK!$F$3</f>
        <v>EUR</v>
      </c>
      <c r="G5" s="4" t="s">
        <v>467</v>
      </c>
      <c r="H5" s="3" t="str">
        <f>IF($D5&gt;0,$D5*$E5,"–")</f>
        <v>–</v>
      </c>
      <c r="J5" s="3" t="str">
        <f ca="1">IF(SUM(LES_AGROLES_plocha_zdroj)=0,"–",SUMPRODUCT(LES_AGROLES_plocha_zdroj,LES_AGROLES_sazba_zdroj))</f>
        <v>–</v>
      </c>
      <c r="L5" s="2" t="s">
        <v>459</v>
      </c>
    </row>
    <row r="6" spans="2:12" x14ac:dyDescent="0.25">
      <c r="B6" s="2" t="s">
        <v>466</v>
      </c>
      <c r="C6" s="2" t="str">
        <f>INDEX(DB_PODPOR!$K:$K,MATCH(LES_AGROLES!$G6,DB_PODPOR!$B:$B,0))</f>
        <v>Péče o založený porost</v>
      </c>
      <c r="D6" s="51">
        <v>0</v>
      </c>
      <c r="E6" s="3">
        <f>IF(ROZCESTNIK!$F$3="EUR",INDEX(DB_PODPOR!$E:$E,MATCH($G6,DB_PODPOR!$B:$B,0)),INDEX(DB_PODPOR!$D:$D,MATCH($G6,DB_PODPOR!$B:$B,0)))</f>
        <v>754</v>
      </c>
      <c r="F6" s="36" t="str">
        <f>ROZCESTNIK!$F$3</f>
        <v>EUR</v>
      </c>
      <c r="G6" s="4" t="s">
        <v>392</v>
      </c>
      <c r="H6" s="3" t="str">
        <f>IF($D6&gt;0,$D6*$E6,"–")</f>
        <v>–</v>
      </c>
      <c r="L6" s="2" t="s">
        <v>460</v>
      </c>
    </row>
    <row r="7" spans="2:12" x14ac:dyDescent="0.25">
      <c r="B7" s="7" t="s">
        <v>106</v>
      </c>
    </row>
  </sheetData>
  <sheetProtection algorithmName="SHA-512" hashValue="rDZ6qbFr1hLh815Ct2fJO00Hvk24qp/U9klWJ9NRpQeGdRIBvfY4aohMm1eWYWWUQL3G6NZDsjIU8/2G+GaFmw==" saltValue="sl/KnbMCVcSfwrLGucOVAw==" spinCount="100000" sheet="1" objects="1" scenarios="1" selectLockedCells="1"/>
  <conditionalFormatting sqref="D4">
    <cfRule type="expression" dxfId="3" priority="2">
      <formula>COUNTIF(LES_AGROLES_plocha_zdroj,0)=COUNTA(LES_AGROLES_titul_zdroj)</formula>
    </cfRule>
  </conditionalFormatting>
  <conditionalFormatting sqref="D5:D6">
    <cfRule type="expression" dxfId="2" priority="1">
      <formula>$D5=0</formula>
    </cfRule>
  </conditionalFormatting>
  <hyperlinks>
    <hyperlink ref="B2" location="ROZCESTNIK!B3" display="← Zpět na úvodní stranu" xr:uid="{808B1FDA-3661-4663-924E-688F623A78AD}"/>
  </hyperlinks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E562C-4FD6-4586-818D-EE98892C106A}">
  <sheetPr codeName="List21"/>
  <dimension ref="B1:L8"/>
  <sheetViews>
    <sheetView zoomScaleNormal="100" workbookViewId="0">
      <selection activeCell="B2" activeCellId="1" sqref="D5:D7 B2"/>
    </sheetView>
  </sheetViews>
  <sheetFormatPr defaultRowHeight="15" x14ac:dyDescent="0.25"/>
  <cols>
    <col min="1" max="1" width="1.7109375" style="1" customWidth="1"/>
    <col min="2" max="2" width="42.7109375" style="1" customWidth="1"/>
    <col min="3" max="3" width="50.7109375" style="1" customWidth="1"/>
    <col min="4" max="6" width="16.7109375" style="1" customWidth="1"/>
    <col min="7" max="7" width="1.7109375" style="1" customWidth="1"/>
    <col min="8" max="8" width="16.7109375" style="1" customWidth="1"/>
    <col min="9" max="9" width="1.7109375" style="1" customWidth="1"/>
    <col min="10" max="10" width="16.7109375" style="1" customWidth="1"/>
    <col min="11" max="11" width="1.7109375" style="1" customWidth="1"/>
    <col min="12" max="12" width="79.85546875" style="1" bestFit="1" customWidth="1"/>
    <col min="13" max="16384" width="9.140625" style="1"/>
  </cols>
  <sheetData>
    <row r="1" spans="2:12" ht="8.1" customHeight="1" x14ac:dyDescent="0.25"/>
    <row r="2" spans="2:12" x14ac:dyDescent="0.25">
      <c r="B2" s="53" t="s">
        <v>345</v>
      </c>
    </row>
    <row r="3" spans="2:12" ht="8.1" customHeight="1" x14ac:dyDescent="0.25"/>
    <row r="4" spans="2:12" ht="30" customHeight="1" x14ac:dyDescent="0.25">
      <c r="B4" s="12" t="s">
        <v>0</v>
      </c>
      <c r="C4" s="12" t="s">
        <v>1</v>
      </c>
      <c r="D4" s="13" t="s">
        <v>346</v>
      </c>
      <c r="E4" s="12" t="s">
        <v>23</v>
      </c>
      <c r="F4" s="12" t="s">
        <v>401</v>
      </c>
      <c r="H4" s="13" t="s">
        <v>347</v>
      </c>
      <c r="J4" s="13" t="s">
        <v>2</v>
      </c>
      <c r="L4" s="39" t="s">
        <v>411</v>
      </c>
    </row>
    <row r="5" spans="2:12" x14ac:dyDescent="0.25">
      <c r="B5" s="2" t="s">
        <v>110</v>
      </c>
      <c r="C5" s="2" t="str">
        <f>INDEX(DB_PODPOR!$K:$K,MATCH(LES_ENVILES!$G5,DB_PODPOR!$B:$B,0))</f>
        <v>Podpora šetrného sběru a reprodukčního materiálu</v>
      </c>
      <c r="D5" s="51">
        <v>0</v>
      </c>
      <c r="E5" s="3">
        <f>IF(ROZCESTNIK!$F$3="EUR",INDEX(DB_PODPOR!$E:$E,MATCH($G5,DB_PODPOR!$B:$B,0)),INDEX(DB_PODPOR!$D:$D,MATCH($G5,DB_PODPOR!$B:$B,0)))</f>
        <v>71</v>
      </c>
      <c r="F5" s="35" t="str">
        <f>ROZCESTNIK!$F$3</f>
        <v>EUR</v>
      </c>
      <c r="G5" s="4" t="s">
        <v>393</v>
      </c>
      <c r="H5" s="3" t="str">
        <f>IF($D5&gt;0,$D5*$E5,"–")</f>
        <v>–</v>
      </c>
      <c r="J5" s="3" t="str">
        <f ca="1">IF(SUM(LES_ENVILES_plocha_zdroj)=0,"–",SUMPRODUCT(LES_ENVILES_plocha_zdroj,LES_ENVILES_sazba_zdroj))</f>
        <v>–</v>
      </c>
      <c r="L5" s="2" t="s">
        <v>461</v>
      </c>
    </row>
    <row r="6" spans="2:12" x14ac:dyDescent="0.25">
      <c r="B6" s="2" t="s">
        <v>110</v>
      </c>
      <c r="C6" s="2" t="str">
        <f>INDEX(DB_PODPOR!$K:$K,MATCH(LES_ENVILES!$G6,DB_PODPOR!$B:$B,0))</f>
        <v>Zachování porostního typu</v>
      </c>
      <c r="D6" s="51">
        <v>0</v>
      </c>
      <c r="E6" s="3">
        <f>IF(ROZCESTNIK!$F$3="EUR",INDEX(DB_PODPOR!$E:$E,MATCH($G6,DB_PODPOR!$B:$B,0)),INDEX(DB_PODPOR!$D:$D,MATCH($G6,DB_PODPOR!$B:$B,0)))</f>
        <v>195</v>
      </c>
      <c r="F6" s="35" t="str">
        <f>ROZCESTNIK!$F$3</f>
        <v>EUR</v>
      </c>
      <c r="G6" s="4" t="s">
        <v>269</v>
      </c>
      <c r="H6" s="3" t="str">
        <f>IF($D6&gt;0,$D6*$E6,"–")</f>
        <v>–</v>
      </c>
      <c r="L6" s="2" t="s">
        <v>462</v>
      </c>
    </row>
    <row r="7" spans="2:12" x14ac:dyDescent="0.25">
      <c r="B7" s="2" t="s">
        <v>110</v>
      </c>
      <c r="C7" s="2" t="str">
        <f>INDEX(DB_PODPOR!$K:$K,MATCH(LES_ENVILES!$G7,DB_PODPOR!$B:$B,0))</f>
        <v>Zachování habitatových stromů</v>
      </c>
      <c r="D7" s="51">
        <v>0</v>
      </c>
      <c r="E7" s="3">
        <f>IF(ROZCESTNIK!$F$3="EUR",INDEX(DB_PODPOR!$E:$E,MATCH($G7,DB_PODPOR!$B:$B,0)),INDEX(DB_PODPOR!$D:$D,MATCH($G7,DB_PODPOR!$B:$B,0)))</f>
        <v>143</v>
      </c>
      <c r="F7" s="35" t="str">
        <f>ROZCESTNIK!$F$3</f>
        <v>EUR</v>
      </c>
      <c r="G7" s="4" t="s">
        <v>270</v>
      </c>
      <c r="H7" s="3" t="str">
        <f>IF($D7&gt;0,$D7*$E7,"–")</f>
        <v>–</v>
      </c>
      <c r="L7" s="2" t="s">
        <v>463</v>
      </c>
    </row>
    <row r="8" spans="2:12" x14ac:dyDescent="0.25">
      <c r="B8" s="7" t="s">
        <v>110</v>
      </c>
    </row>
  </sheetData>
  <sheetProtection algorithmName="SHA-512" hashValue="f66zAu3FVhAO/57dguzsFXFCfJRBQaOxPo/DfJn/kZ+wzcuSeodFEKyAUDbXFTX1D+LOM3hqjV+M2MS4aO1eKg==" saltValue="ODKLrjYXw83vCHcqdO9Nkw==" spinCount="100000" sheet="1" objects="1" scenarios="1" selectLockedCells="1"/>
  <conditionalFormatting sqref="D4">
    <cfRule type="expression" dxfId="1" priority="2">
      <formula>COUNTIF(LES_ENVILES_plocha_zdroj,0)=COUNTA(LES_ENVILES_titul_zdroj)</formula>
    </cfRule>
  </conditionalFormatting>
  <conditionalFormatting sqref="D5:D7">
    <cfRule type="expression" dxfId="0" priority="1">
      <formula>$D5=0</formula>
    </cfRule>
  </conditionalFormatting>
  <hyperlinks>
    <hyperlink ref="B2" location="ROZCESTNIK!B3" display="← Zpět na úvodní stranu" xr:uid="{0D7A609E-82DC-43D7-B39D-4A69B0AA9EDD}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21</vt:i4>
      </vt:variant>
    </vt:vector>
  </HeadingPairs>
  <TitlesOfParts>
    <vt:vector size="21" baseType="lpstr">
      <vt:lpstr>UVOD_INFO</vt:lpstr>
      <vt:lpstr>ROZCESTNIK</vt:lpstr>
      <vt:lpstr>SAPS</vt:lpstr>
      <vt:lpstr>RP</vt:lpstr>
      <vt:lpstr>EKOSCHEMA</vt:lpstr>
      <vt:lpstr>MLZ</vt:lpstr>
      <vt:lpstr>VCS</vt:lpstr>
      <vt:lpstr>MS</vt:lpstr>
      <vt:lpstr>ANC</vt:lpstr>
      <vt:lpstr>AEKO_ZATR</vt:lpstr>
      <vt:lpstr>AEKO_MEZIP</vt:lpstr>
      <vt:lpstr>AEKO_OTP</vt:lpstr>
      <vt:lpstr>AEKO_BIODIV</vt:lpstr>
      <vt:lpstr>AEKO_IP</vt:lpstr>
      <vt:lpstr>AEKO_JINE</vt:lpstr>
      <vt:lpstr>EZ_ZAKL</vt:lpstr>
      <vt:lpstr>NAT_2000</vt:lpstr>
      <vt:lpstr>DZPZ</vt:lpstr>
      <vt:lpstr>LES_ZALES</vt:lpstr>
      <vt:lpstr>LES_AGROLES</vt:lpstr>
      <vt:lpstr>LES_ENVILES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Hruška Martin</dc:creator>
  <cp:keywords/>
  <dc:description/>
  <cp:lastModifiedBy>Hofman Václav</cp:lastModifiedBy>
  <cp:revision/>
  <dcterms:created xsi:type="dcterms:W3CDTF">2015-06-05T18:19:34Z</dcterms:created>
  <dcterms:modified xsi:type="dcterms:W3CDTF">2022-01-26T10:58:30Z</dcterms:modified>
  <cp:category/>
  <cp:contentStatus/>
</cp:coreProperties>
</file>